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225" yWindow="270" windowWidth="20610" windowHeight="11640" tabRatio="694"/>
  </bookViews>
  <sheets>
    <sheet name="Beschreibung" sheetId="10" r:id="rId1"/>
    <sheet name="Eingabe Parameter" sheetId="1" r:id="rId2"/>
    <sheet name="aus_Eingabeparameter" sheetId="5" state="hidden" r:id="rId3"/>
    <sheet name="Vollbenutzungsstunden SLP" sheetId="3" state="hidden" r:id="rId4"/>
    <sheet name="Vollbenutzungsstunden RLM" sheetId="4" state="hidden" r:id="rId5"/>
    <sheet name="Input SLP" sheetId="6" state="hidden" r:id="rId6"/>
    <sheet name="Input GHD&amp;Industrie" sheetId="8" state="hidden" r:id="rId7"/>
    <sheet name="Kennwerte Kundenprofile" sheetId="7" state="hidden" r:id="rId8"/>
  </sheets>
  <definedNames>
    <definedName name="BerInd">aus_Eingabeparameter!$G$30:$G$31</definedName>
  </definedNames>
  <calcPr calcId="145621"/>
</workbook>
</file>

<file path=xl/calcChain.xml><?xml version="1.0" encoding="utf-8"?>
<calcChain xmlns="http://schemas.openxmlformats.org/spreadsheetml/2006/main">
  <c r="B27" i="5" l="1"/>
  <c r="C40" i="3" l="1"/>
  <c r="C45" i="3" s="1"/>
  <c r="D32" i="1"/>
  <c r="G12" i="5" l="1"/>
  <c r="G15" i="5"/>
  <c r="F11" i="5"/>
  <c r="F12" i="5"/>
  <c r="F13" i="5"/>
  <c r="F15" i="5"/>
  <c r="F16" i="5"/>
  <c r="F21" i="5"/>
  <c r="D23" i="1" l="1"/>
  <c r="C22" i="4" l="1"/>
  <c r="B22" i="4"/>
  <c r="B5" i="5" l="1"/>
  <c r="D19" i="1" l="1"/>
  <c r="D14" i="1"/>
  <c r="B25" i="5" l="1"/>
  <c r="O27" i="1" l="1"/>
  <c r="O26" i="1"/>
  <c r="O25" i="1"/>
  <c r="O24" i="1"/>
  <c r="O23" i="1"/>
  <c r="O22" i="1"/>
  <c r="O21" i="1"/>
  <c r="O20" i="1"/>
  <c r="O19" i="1"/>
  <c r="O18" i="1"/>
  <c r="O17" i="1"/>
  <c r="I23" i="1" l="1"/>
  <c r="I22" i="1"/>
  <c r="I21" i="1"/>
  <c r="I19" i="1"/>
  <c r="I18" i="1"/>
  <c r="I17" i="1"/>
  <c r="I16" i="1"/>
  <c r="B13" i="5"/>
  <c r="B17" i="5" l="1"/>
  <c r="A17" i="5"/>
  <c r="A18" i="5"/>
  <c r="B18" i="5" l="1"/>
  <c r="A15" i="5"/>
  <c r="A16" i="5"/>
  <c r="G18" i="5" l="1"/>
  <c r="F19" i="5" l="1"/>
  <c r="B16" i="5" l="1"/>
  <c r="F18" i="5"/>
  <c r="D28" i="3" l="1"/>
  <c r="G6" i="5"/>
  <c r="G4" i="5"/>
  <c r="H4" i="5"/>
  <c r="H3" i="5" s="1"/>
  <c r="H6" i="5"/>
  <c r="H5" i="5" s="1"/>
  <c r="K5" i="5" s="1"/>
  <c r="D33" i="3"/>
  <c r="C33" i="3"/>
  <c r="E28" i="3"/>
  <c r="E33" i="3"/>
  <c r="C28" i="3"/>
  <c r="G25" i="5"/>
  <c r="G24" i="5" s="1"/>
  <c r="H24" i="5" s="1"/>
  <c r="A7" i="6" s="1"/>
  <c r="F24" i="5"/>
  <c r="F25" i="5"/>
  <c r="G23" i="5"/>
  <c r="G22" i="5" s="1"/>
  <c r="H22" i="5" s="1"/>
  <c r="F23" i="5"/>
  <c r="D10" i="4" l="1"/>
  <c r="G3" i="5"/>
  <c r="G5" i="5"/>
  <c r="J5" i="5" s="1"/>
  <c r="R101" i="6"/>
  <c r="Q100" i="6"/>
  <c r="P99" i="6"/>
  <c r="R97" i="6"/>
  <c r="Q96" i="6"/>
  <c r="P95" i="6"/>
  <c r="R93" i="6"/>
  <c r="Q92" i="6"/>
  <c r="P91" i="6"/>
  <c r="R89" i="6"/>
  <c r="Q88" i="6"/>
  <c r="P87" i="6"/>
  <c r="R85" i="6"/>
  <c r="Q84" i="6"/>
  <c r="P83" i="6"/>
  <c r="R81" i="6"/>
  <c r="Q80" i="6"/>
  <c r="P79" i="6"/>
  <c r="R77" i="6"/>
  <c r="Q76" i="6"/>
  <c r="P75" i="6"/>
  <c r="R73" i="6"/>
  <c r="Q72" i="6"/>
  <c r="P71" i="6"/>
  <c r="R69" i="6"/>
  <c r="Q68" i="6"/>
  <c r="P67" i="6"/>
  <c r="R65" i="6"/>
  <c r="Q64" i="6"/>
  <c r="P63" i="6"/>
  <c r="R61" i="6"/>
  <c r="Q60" i="6"/>
  <c r="P59" i="6"/>
  <c r="R57" i="6"/>
  <c r="Q56" i="6"/>
  <c r="P55" i="6"/>
  <c r="R53" i="6"/>
  <c r="Q52" i="6"/>
  <c r="P51" i="6"/>
  <c r="R49" i="6"/>
  <c r="Q48" i="6"/>
  <c r="P47" i="6"/>
  <c r="R45" i="6"/>
  <c r="Q44" i="6"/>
  <c r="P43" i="6"/>
  <c r="R41" i="6"/>
  <c r="Q40" i="6"/>
  <c r="P39" i="6"/>
  <c r="R37" i="6"/>
  <c r="Q36" i="6"/>
  <c r="P35" i="6"/>
  <c r="R33" i="6"/>
  <c r="Q32" i="6"/>
  <c r="P31" i="6"/>
  <c r="R29" i="6"/>
  <c r="Q28" i="6"/>
  <c r="P27" i="6"/>
  <c r="R25" i="6"/>
  <c r="Q24" i="6"/>
  <c r="P23" i="6"/>
  <c r="R21" i="6"/>
  <c r="Q20" i="6"/>
  <c r="P19" i="6"/>
  <c r="R17" i="6"/>
  <c r="Q16" i="6"/>
  <c r="P15" i="6"/>
  <c r="R13" i="6"/>
  <c r="Q12" i="6"/>
  <c r="P11" i="6"/>
  <c r="R9" i="6"/>
  <c r="Q8" i="6"/>
  <c r="P7" i="6"/>
  <c r="R99" i="6"/>
  <c r="P97" i="6"/>
  <c r="Q94" i="6"/>
  <c r="R91" i="6"/>
  <c r="P89" i="6"/>
  <c r="Q86" i="6"/>
  <c r="P85" i="6"/>
  <c r="R83" i="6"/>
  <c r="Q82" i="6"/>
  <c r="P81" i="6"/>
  <c r="R79" i="6"/>
  <c r="Q78" i="6"/>
  <c r="P77" i="6"/>
  <c r="Q101" i="6"/>
  <c r="P100" i="6"/>
  <c r="R98" i="6"/>
  <c r="Q97" i="6"/>
  <c r="P96" i="6"/>
  <c r="R94" i="6"/>
  <c r="Q93" i="6"/>
  <c r="P92" i="6"/>
  <c r="R90" i="6"/>
  <c r="Q89" i="6"/>
  <c r="P88" i="6"/>
  <c r="R86" i="6"/>
  <c r="Q85" i="6"/>
  <c r="P84" i="6"/>
  <c r="R82" i="6"/>
  <c r="Q81" i="6"/>
  <c r="P80" i="6"/>
  <c r="R78" i="6"/>
  <c r="Q77" i="6"/>
  <c r="P76" i="6"/>
  <c r="R74" i="6"/>
  <c r="Q73" i="6"/>
  <c r="P72" i="6"/>
  <c r="R70" i="6"/>
  <c r="Q69" i="6"/>
  <c r="P68" i="6"/>
  <c r="R66" i="6"/>
  <c r="Q65" i="6"/>
  <c r="P64" i="6"/>
  <c r="R62" i="6"/>
  <c r="Q61" i="6"/>
  <c r="P60" i="6"/>
  <c r="R58" i="6"/>
  <c r="Q57" i="6"/>
  <c r="P56" i="6"/>
  <c r="R54" i="6"/>
  <c r="Q53" i="6"/>
  <c r="P52" i="6"/>
  <c r="R50" i="6"/>
  <c r="Q49" i="6"/>
  <c r="P48" i="6"/>
  <c r="R46" i="6"/>
  <c r="Q45" i="6"/>
  <c r="P44" i="6"/>
  <c r="R42" i="6"/>
  <c r="Q41" i="6"/>
  <c r="P40" i="6"/>
  <c r="R38" i="6"/>
  <c r="Q37" i="6"/>
  <c r="P36" i="6"/>
  <c r="R34" i="6"/>
  <c r="Q33" i="6"/>
  <c r="P32" i="6"/>
  <c r="R30" i="6"/>
  <c r="Q29" i="6"/>
  <c r="P28" i="6"/>
  <c r="R26" i="6"/>
  <c r="Q25" i="6"/>
  <c r="P24" i="6"/>
  <c r="R22" i="6"/>
  <c r="Q21" i="6"/>
  <c r="P20" i="6"/>
  <c r="R18" i="6"/>
  <c r="Q17" i="6"/>
  <c r="P16" i="6"/>
  <c r="R14" i="6"/>
  <c r="Q13" i="6"/>
  <c r="P12" i="6"/>
  <c r="R10" i="6"/>
  <c r="Q9" i="6"/>
  <c r="P8" i="6"/>
  <c r="R6" i="6"/>
  <c r="P101" i="6"/>
  <c r="Q98" i="6"/>
  <c r="R95" i="6"/>
  <c r="P93" i="6"/>
  <c r="Q90" i="6"/>
  <c r="R87" i="6"/>
  <c r="R100" i="6"/>
  <c r="Q95" i="6"/>
  <c r="P90" i="6"/>
  <c r="R84" i="6"/>
  <c r="Q79" i="6"/>
  <c r="R72" i="6"/>
  <c r="R64" i="6"/>
  <c r="Q51" i="6"/>
  <c r="Q35" i="6"/>
  <c r="Q19" i="6"/>
  <c r="P98" i="6"/>
  <c r="R92" i="6"/>
  <c r="Q87" i="6"/>
  <c r="P82" i="6"/>
  <c r="R76" i="6"/>
  <c r="P74" i="6"/>
  <c r="Q71" i="6"/>
  <c r="R68" i="6"/>
  <c r="P66" i="6"/>
  <c r="Q63" i="6"/>
  <c r="R60" i="6"/>
  <c r="P58" i="6"/>
  <c r="Q55" i="6"/>
  <c r="R52" i="6"/>
  <c r="P50" i="6"/>
  <c r="Q47" i="6"/>
  <c r="R44" i="6"/>
  <c r="P42" i="6"/>
  <c r="Q39" i="6"/>
  <c r="R36" i="6"/>
  <c r="P34" i="6"/>
  <c r="Q31" i="6"/>
  <c r="R28" i="6"/>
  <c r="P26" i="6"/>
  <c r="Q23" i="6"/>
  <c r="R20" i="6"/>
  <c r="P18" i="6"/>
  <c r="Q15" i="6"/>
  <c r="R12" i="6"/>
  <c r="P10" i="6"/>
  <c r="Q7" i="6"/>
  <c r="R96" i="6"/>
  <c r="Q91" i="6"/>
  <c r="P86" i="6"/>
  <c r="R80" i="6"/>
  <c r="R75" i="6"/>
  <c r="P73" i="6"/>
  <c r="Q70" i="6"/>
  <c r="R67" i="6"/>
  <c r="P65" i="6"/>
  <c r="Q62" i="6"/>
  <c r="R59" i="6"/>
  <c r="P57" i="6"/>
  <c r="Q54" i="6"/>
  <c r="R51" i="6"/>
  <c r="P49" i="6"/>
  <c r="Q46" i="6"/>
  <c r="R43" i="6"/>
  <c r="P41" i="6"/>
  <c r="Q38" i="6"/>
  <c r="R35" i="6"/>
  <c r="P33" i="6"/>
  <c r="Q30" i="6"/>
  <c r="R27" i="6"/>
  <c r="P25" i="6"/>
  <c r="Q22" i="6"/>
  <c r="R19" i="6"/>
  <c r="P17" i="6"/>
  <c r="Q14" i="6"/>
  <c r="R11" i="6"/>
  <c r="P9" i="6"/>
  <c r="Q6" i="6"/>
  <c r="Q75" i="6"/>
  <c r="P70" i="6"/>
  <c r="Q67" i="6"/>
  <c r="P62" i="6"/>
  <c r="Q59" i="6"/>
  <c r="R56" i="6"/>
  <c r="P54" i="6"/>
  <c r="R48" i="6"/>
  <c r="P46" i="6"/>
  <c r="Q43" i="6"/>
  <c r="R40" i="6"/>
  <c r="P38" i="6"/>
  <c r="R32" i="6"/>
  <c r="P30" i="6"/>
  <c r="Q27" i="6"/>
  <c r="R24" i="6"/>
  <c r="P22" i="6"/>
  <c r="R16" i="6"/>
  <c r="P14" i="6"/>
  <c r="Q11" i="6"/>
  <c r="R8" i="6"/>
  <c r="P6" i="6"/>
  <c r="Q99" i="6"/>
  <c r="Q83" i="6"/>
  <c r="P69" i="6"/>
  <c r="Q58" i="6"/>
  <c r="R47" i="6"/>
  <c r="P37" i="6"/>
  <c r="Q26" i="6"/>
  <c r="R15" i="6"/>
  <c r="P78" i="6"/>
  <c r="Q66" i="6"/>
  <c r="R55" i="6"/>
  <c r="P45" i="6"/>
  <c r="Q34" i="6"/>
  <c r="R23" i="6"/>
  <c r="P13" i="6"/>
  <c r="P94" i="6"/>
  <c r="Q74" i="6"/>
  <c r="R63" i="6"/>
  <c r="P53" i="6"/>
  <c r="Q42" i="6"/>
  <c r="R31" i="6"/>
  <c r="P21" i="6"/>
  <c r="Q10" i="6"/>
  <c r="R88" i="6"/>
  <c r="R71" i="6"/>
  <c r="P61" i="6"/>
  <c r="Q50" i="6"/>
  <c r="R39" i="6"/>
  <c r="P29" i="6"/>
  <c r="Q18" i="6"/>
  <c r="R7" i="6"/>
  <c r="I9" i="6"/>
  <c r="I99" i="6"/>
  <c r="I95" i="6"/>
  <c r="I91" i="6"/>
  <c r="I87" i="6"/>
  <c r="I83" i="6"/>
  <c r="I79" i="6"/>
  <c r="I75" i="6"/>
  <c r="I71" i="6"/>
  <c r="I67" i="6"/>
  <c r="I63" i="6"/>
  <c r="I59" i="6"/>
  <c r="I55" i="6"/>
  <c r="I51" i="6"/>
  <c r="I47" i="6"/>
  <c r="I43" i="6"/>
  <c r="I39" i="6"/>
  <c r="I35" i="6"/>
  <c r="I31" i="6"/>
  <c r="I27" i="6"/>
  <c r="I23" i="6"/>
  <c r="I19" i="6"/>
  <c r="I15" i="6"/>
  <c r="I11" i="6"/>
  <c r="I7" i="6"/>
  <c r="I98" i="6"/>
  <c r="I94" i="6"/>
  <c r="I90" i="6"/>
  <c r="I86" i="6"/>
  <c r="I82" i="6"/>
  <c r="I78" i="6"/>
  <c r="I74" i="6"/>
  <c r="I70" i="6"/>
  <c r="I66" i="6"/>
  <c r="I62" i="6"/>
  <c r="I58" i="6"/>
  <c r="I54" i="6"/>
  <c r="I50" i="6"/>
  <c r="I46" i="6"/>
  <c r="I42" i="6"/>
  <c r="I38" i="6"/>
  <c r="I34" i="6"/>
  <c r="I30" i="6"/>
  <c r="I26" i="6"/>
  <c r="I22" i="6"/>
  <c r="I18" i="6"/>
  <c r="I14" i="6"/>
  <c r="I10" i="6"/>
  <c r="I6" i="6"/>
  <c r="I101" i="6"/>
  <c r="I97" i="6"/>
  <c r="I93" i="6"/>
  <c r="I89" i="6"/>
  <c r="I85" i="6"/>
  <c r="I81" i="6"/>
  <c r="I77" i="6"/>
  <c r="I73" i="6"/>
  <c r="I69" i="6"/>
  <c r="I65" i="6"/>
  <c r="I61" i="6"/>
  <c r="I57" i="6"/>
  <c r="I53" i="6"/>
  <c r="I49" i="6"/>
  <c r="I45" i="6"/>
  <c r="I41" i="6"/>
  <c r="I37" i="6"/>
  <c r="I33" i="6"/>
  <c r="I29" i="6"/>
  <c r="I25" i="6"/>
  <c r="I21" i="6"/>
  <c r="I17" i="6"/>
  <c r="I13" i="6"/>
  <c r="I100" i="6"/>
  <c r="I96" i="6"/>
  <c r="I92" i="6"/>
  <c r="I88" i="6"/>
  <c r="I84" i="6"/>
  <c r="I80" i="6"/>
  <c r="I76" i="6"/>
  <c r="I72" i="6"/>
  <c r="I68" i="6"/>
  <c r="I64" i="6"/>
  <c r="I60" i="6"/>
  <c r="I56" i="6"/>
  <c r="I52" i="6"/>
  <c r="I48" i="6"/>
  <c r="I44" i="6"/>
  <c r="I28" i="6"/>
  <c r="I12" i="6"/>
  <c r="I32" i="6"/>
  <c r="I40" i="6"/>
  <c r="I24" i="6"/>
  <c r="I8" i="6"/>
  <c r="I36" i="6"/>
  <c r="I20" i="6"/>
  <c r="I16" i="6"/>
  <c r="H101" i="6"/>
  <c r="H97" i="6"/>
  <c r="H93" i="6"/>
  <c r="H89" i="6"/>
  <c r="H85" i="6"/>
  <c r="H81" i="6"/>
  <c r="H77" i="6"/>
  <c r="H73" i="6"/>
  <c r="H69" i="6"/>
  <c r="H65" i="6"/>
  <c r="H61" i="6"/>
  <c r="H57" i="6"/>
  <c r="H53" i="6"/>
  <c r="H49" i="6"/>
  <c r="H45" i="6"/>
  <c r="H41" i="6"/>
  <c r="H37" i="6"/>
  <c r="H33" i="6"/>
  <c r="H29" i="6"/>
  <c r="H21" i="6"/>
  <c r="H9" i="6"/>
  <c r="H96" i="6"/>
  <c r="H84" i="6"/>
  <c r="H72" i="6"/>
  <c r="H64" i="6"/>
  <c r="H56" i="6"/>
  <c r="H48" i="6"/>
  <c r="H40" i="6"/>
  <c r="H32" i="6"/>
  <c r="H24" i="6"/>
  <c r="H16" i="6"/>
  <c r="H12" i="6"/>
  <c r="H99" i="6"/>
  <c r="H95" i="6"/>
  <c r="H91" i="6"/>
  <c r="H87" i="6"/>
  <c r="H83" i="6"/>
  <c r="H79" i="6"/>
  <c r="H75" i="6"/>
  <c r="H71" i="6"/>
  <c r="H67" i="6"/>
  <c r="H63" i="6"/>
  <c r="H59" i="6"/>
  <c r="H55" i="6"/>
  <c r="H51" i="6"/>
  <c r="H47" i="6"/>
  <c r="H43" i="6"/>
  <c r="H39" i="6"/>
  <c r="H35" i="6"/>
  <c r="H31" i="6"/>
  <c r="H27" i="6"/>
  <c r="H23" i="6"/>
  <c r="H19" i="6"/>
  <c r="H15" i="6"/>
  <c r="H11" i="6"/>
  <c r="H7" i="6"/>
  <c r="H98" i="6"/>
  <c r="H94" i="6"/>
  <c r="H90" i="6"/>
  <c r="H86" i="6"/>
  <c r="H82" i="6"/>
  <c r="H78" i="6"/>
  <c r="H74" i="6"/>
  <c r="H70" i="6"/>
  <c r="H66" i="6"/>
  <c r="H62" i="6"/>
  <c r="H58" i="6"/>
  <c r="H54" i="6"/>
  <c r="H50" i="6"/>
  <c r="H46" i="6"/>
  <c r="H42" i="6"/>
  <c r="H38" i="6"/>
  <c r="H34" i="6"/>
  <c r="H30" i="6"/>
  <c r="H26" i="6"/>
  <c r="H22" i="6"/>
  <c r="H18" i="6"/>
  <c r="H14" i="6"/>
  <c r="H10" i="6"/>
  <c r="H6" i="6"/>
  <c r="H25" i="6"/>
  <c r="H17" i="6"/>
  <c r="H13" i="6"/>
  <c r="H100" i="6"/>
  <c r="H92" i="6"/>
  <c r="H88" i="6"/>
  <c r="H80" i="6"/>
  <c r="H76" i="6"/>
  <c r="H68" i="6"/>
  <c r="H60" i="6"/>
  <c r="H52" i="6"/>
  <c r="H44" i="6"/>
  <c r="H36" i="6"/>
  <c r="H28" i="6"/>
  <c r="H20" i="6"/>
  <c r="H8" i="6"/>
  <c r="G6" i="6"/>
  <c r="G7" i="6"/>
  <c r="G11" i="6"/>
  <c r="G15" i="6"/>
  <c r="G19" i="6"/>
  <c r="G23" i="6"/>
  <c r="G27" i="6"/>
  <c r="G31" i="6"/>
  <c r="G35" i="6"/>
  <c r="G39" i="6"/>
  <c r="G43" i="6"/>
  <c r="G47" i="6"/>
  <c r="G51" i="6"/>
  <c r="G55" i="6"/>
  <c r="G59" i="6"/>
  <c r="G63" i="6"/>
  <c r="G67" i="6"/>
  <c r="G71" i="6"/>
  <c r="G75" i="6"/>
  <c r="G79" i="6"/>
  <c r="G83" i="6"/>
  <c r="G87" i="6"/>
  <c r="G91" i="6"/>
  <c r="G95" i="6"/>
  <c r="G99" i="6"/>
  <c r="G17" i="6"/>
  <c r="G29" i="6"/>
  <c r="G37" i="6"/>
  <c r="G45" i="6"/>
  <c r="G53" i="6"/>
  <c r="G61" i="6"/>
  <c r="G69" i="6"/>
  <c r="G73" i="6"/>
  <c r="G81" i="6"/>
  <c r="G89" i="6"/>
  <c r="G97" i="6"/>
  <c r="G10" i="6"/>
  <c r="G18" i="6"/>
  <c r="G26" i="6"/>
  <c r="G34" i="6"/>
  <c r="G42" i="6"/>
  <c r="G50" i="6"/>
  <c r="G58" i="6"/>
  <c r="G66" i="6"/>
  <c r="G74" i="6"/>
  <c r="G82" i="6"/>
  <c r="G90" i="6"/>
  <c r="G98" i="6"/>
  <c r="G8" i="6"/>
  <c r="G12" i="6"/>
  <c r="G16" i="6"/>
  <c r="G20" i="6"/>
  <c r="G24" i="6"/>
  <c r="G28" i="6"/>
  <c r="G32" i="6"/>
  <c r="G36" i="6"/>
  <c r="G40" i="6"/>
  <c r="G44" i="6"/>
  <c r="G48" i="6"/>
  <c r="G52" i="6"/>
  <c r="G56" i="6"/>
  <c r="G60" i="6"/>
  <c r="G64" i="6"/>
  <c r="G68" i="6"/>
  <c r="G72" i="6"/>
  <c r="G76" i="6"/>
  <c r="G80" i="6"/>
  <c r="G84" i="6"/>
  <c r="G88" i="6"/>
  <c r="G92" i="6"/>
  <c r="G96" i="6"/>
  <c r="G100" i="6"/>
  <c r="G9" i="6"/>
  <c r="G13" i="6"/>
  <c r="G21" i="6"/>
  <c r="G25" i="6"/>
  <c r="G33" i="6"/>
  <c r="G41" i="6"/>
  <c r="G49" i="6"/>
  <c r="G57" i="6"/>
  <c r="G65" i="6"/>
  <c r="G77" i="6"/>
  <c r="G85" i="6"/>
  <c r="G93" i="6"/>
  <c r="G101" i="6"/>
  <c r="G14" i="6"/>
  <c r="G22" i="6"/>
  <c r="G30" i="6"/>
  <c r="G38" i="6"/>
  <c r="G46" i="6"/>
  <c r="G54" i="6"/>
  <c r="G62" i="6"/>
  <c r="G70" i="6"/>
  <c r="G78" i="6"/>
  <c r="G86" i="6"/>
  <c r="G94" i="6"/>
  <c r="D65" i="1"/>
  <c r="D63" i="1"/>
  <c r="I30" i="1"/>
  <c r="I29" i="1"/>
  <c r="A10" i="5"/>
  <c r="C32" i="3" l="1"/>
  <c r="E27" i="3"/>
  <c r="D27" i="3"/>
  <c r="C27" i="3"/>
  <c r="E32" i="3"/>
  <c r="D32" i="3"/>
  <c r="D59" i="1"/>
  <c r="A27" i="5" l="1"/>
  <c r="A6" i="5" l="1"/>
  <c r="B6" i="5"/>
  <c r="C6" i="5" s="1"/>
  <c r="D6" i="5" s="1"/>
  <c r="J19" i="1" l="1"/>
  <c r="K19" i="1" l="1"/>
  <c r="A25" i="5"/>
  <c r="F22" i="5" l="1"/>
  <c r="A21" i="5"/>
  <c r="B21" i="5"/>
  <c r="C38" i="3" s="1"/>
  <c r="C43" i="3" s="1"/>
  <c r="A22" i="5"/>
  <c r="B22" i="5"/>
  <c r="C39" i="3" s="1"/>
  <c r="C44" i="3" s="1"/>
  <c r="A23" i="5"/>
  <c r="B23" i="5"/>
  <c r="B10" i="5"/>
  <c r="C17" i="4" s="1"/>
  <c r="D17" i="4" l="1"/>
  <c r="E17" i="4"/>
  <c r="C4" i="4"/>
  <c r="C18" i="4"/>
  <c r="C19" i="3"/>
  <c r="D9" i="3" s="1"/>
  <c r="G1" i="5"/>
  <c r="F1" i="5"/>
  <c r="C1" i="5"/>
  <c r="D1" i="5"/>
  <c r="B1" i="5"/>
  <c r="A5" i="5"/>
  <c r="A4" i="5"/>
  <c r="B4" i="5"/>
  <c r="C20" i="3" s="1"/>
  <c r="A8" i="5"/>
  <c r="B8" i="5"/>
  <c r="A9" i="5"/>
  <c r="B9" i="5"/>
  <c r="A13" i="5"/>
  <c r="A3" i="5"/>
  <c r="B3" i="5"/>
  <c r="C39" i="5" s="1"/>
  <c r="C21" i="3" l="1"/>
  <c r="C15" i="3" s="1"/>
  <c r="D18" i="4"/>
  <c r="D14" i="4" s="1"/>
  <c r="E18" i="4"/>
  <c r="P17" i="1"/>
  <c r="C18" i="3"/>
  <c r="C4" i="3"/>
  <c r="S17" i="1" l="1"/>
  <c r="P31" i="1" s="1"/>
  <c r="E15" i="3" l="1"/>
  <c r="D15" i="3"/>
  <c r="E10" i="4" l="1"/>
  <c r="E14" i="4" s="1"/>
  <c r="A5" i="6" l="1"/>
  <c r="E6" i="6" l="1"/>
  <c r="E10" i="6"/>
  <c r="E14" i="6"/>
  <c r="E18" i="6"/>
  <c r="E22" i="6"/>
  <c r="E26" i="6"/>
  <c r="E30" i="6"/>
  <c r="E34" i="6"/>
  <c r="E38" i="6"/>
  <c r="E42" i="6"/>
  <c r="E46" i="6"/>
  <c r="E50" i="6"/>
  <c r="E54" i="6"/>
  <c r="E58" i="6"/>
  <c r="E62" i="6"/>
  <c r="E66" i="6"/>
  <c r="E70" i="6"/>
  <c r="E74" i="6"/>
  <c r="E78" i="6"/>
  <c r="E82" i="6"/>
  <c r="E86" i="6"/>
  <c r="E90" i="6"/>
  <c r="E94" i="6"/>
  <c r="E98" i="6"/>
  <c r="E7" i="6"/>
  <c r="E11" i="6"/>
  <c r="E15" i="6"/>
  <c r="E19" i="6"/>
  <c r="E23" i="6"/>
  <c r="E27" i="6"/>
  <c r="E31" i="6"/>
  <c r="E35" i="6"/>
  <c r="E39" i="6"/>
  <c r="E43" i="6"/>
  <c r="E47" i="6"/>
  <c r="E51" i="6"/>
  <c r="E55" i="6"/>
  <c r="E59" i="6"/>
  <c r="E63" i="6"/>
  <c r="E67" i="6"/>
  <c r="E71" i="6"/>
  <c r="E75" i="6"/>
  <c r="E79" i="6"/>
  <c r="E83" i="6"/>
  <c r="E87" i="6"/>
  <c r="E91" i="6"/>
  <c r="E95" i="6"/>
  <c r="E99" i="6"/>
  <c r="E8" i="6"/>
  <c r="E12" i="6"/>
  <c r="E16" i="6"/>
  <c r="E20" i="6"/>
  <c r="E24" i="6"/>
  <c r="E28" i="6"/>
  <c r="E32" i="6"/>
  <c r="E36" i="6"/>
  <c r="E40" i="6"/>
  <c r="E44" i="6"/>
  <c r="E48" i="6"/>
  <c r="E52" i="6"/>
  <c r="E56" i="6"/>
  <c r="E60" i="6"/>
  <c r="E64" i="6"/>
  <c r="E68" i="6"/>
  <c r="E72" i="6"/>
  <c r="E76" i="6"/>
  <c r="E80" i="6"/>
  <c r="E84" i="6"/>
  <c r="E88" i="6"/>
  <c r="E92" i="6"/>
  <c r="E96" i="6"/>
  <c r="E100" i="6"/>
  <c r="E9" i="6"/>
  <c r="E13" i="6"/>
  <c r="E17" i="6"/>
  <c r="E21" i="6"/>
  <c r="E25" i="6"/>
  <c r="E29" i="6"/>
  <c r="E33" i="6"/>
  <c r="E37" i="6"/>
  <c r="E41" i="6"/>
  <c r="E45" i="6"/>
  <c r="E49" i="6"/>
  <c r="E53" i="6"/>
  <c r="E57" i="6"/>
  <c r="E61" i="6"/>
  <c r="E77" i="6"/>
  <c r="E93" i="6"/>
  <c r="E65" i="6"/>
  <c r="E81" i="6"/>
  <c r="E97" i="6"/>
  <c r="E73" i="6"/>
  <c r="E89" i="6"/>
  <c r="E69" i="6"/>
  <c r="E85" i="6"/>
  <c r="E101" i="6"/>
  <c r="D6" i="6"/>
  <c r="M6" i="6"/>
  <c r="N101" i="6"/>
  <c r="N99" i="6"/>
  <c r="N97" i="6"/>
  <c r="N95" i="6"/>
  <c r="N93" i="6"/>
  <c r="N91" i="6"/>
  <c r="N89" i="6"/>
  <c r="N87" i="6"/>
  <c r="N85" i="6"/>
  <c r="N83" i="6"/>
  <c r="N81" i="6"/>
  <c r="N79" i="6"/>
  <c r="N77" i="6"/>
  <c r="N75" i="6"/>
  <c r="N73" i="6"/>
  <c r="N71" i="6"/>
  <c r="N100" i="6"/>
  <c r="N98" i="6"/>
  <c r="N96" i="6"/>
  <c r="N94" i="6"/>
  <c r="N92" i="6"/>
  <c r="N90" i="6"/>
  <c r="N88" i="6"/>
  <c r="N86" i="6"/>
  <c r="N84" i="6"/>
  <c r="N82" i="6"/>
  <c r="N80" i="6"/>
  <c r="N78" i="6"/>
  <c r="N76" i="6"/>
  <c r="N74" i="6"/>
  <c r="N72" i="6"/>
  <c r="N70" i="6"/>
  <c r="N68" i="6"/>
  <c r="N66" i="6"/>
  <c r="N64" i="6"/>
  <c r="N62" i="6"/>
  <c r="N60" i="6"/>
  <c r="N58" i="6"/>
  <c r="N56" i="6"/>
  <c r="N54" i="6"/>
  <c r="N52" i="6"/>
  <c r="N50" i="6"/>
  <c r="N48" i="6"/>
  <c r="N46" i="6"/>
  <c r="O100" i="6"/>
  <c r="M99" i="6"/>
  <c r="O96" i="6"/>
  <c r="M95" i="6"/>
  <c r="O92" i="6"/>
  <c r="M91" i="6"/>
  <c r="O88" i="6"/>
  <c r="M87" i="6"/>
  <c r="O84" i="6"/>
  <c r="M83" i="6"/>
  <c r="O80" i="6"/>
  <c r="M79" i="6"/>
  <c r="O76" i="6"/>
  <c r="M75" i="6"/>
  <c r="O72" i="6"/>
  <c r="M71" i="6"/>
  <c r="M67" i="6"/>
  <c r="M66" i="6"/>
  <c r="N65" i="6"/>
  <c r="O64" i="6"/>
  <c r="O63" i="6"/>
  <c r="M59" i="6"/>
  <c r="M58" i="6"/>
  <c r="N57" i="6"/>
  <c r="O56" i="6"/>
  <c r="O55" i="6"/>
  <c r="M51" i="6"/>
  <c r="M50" i="6"/>
  <c r="N49" i="6"/>
  <c r="O48" i="6"/>
  <c r="O47" i="6"/>
  <c r="N44" i="6"/>
  <c r="N42" i="6"/>
  <c r="N40" i="6"/>
  <c r="N38" i="6"/>
  <c r="N36" i="6"/>
  <c r="N34" i="6"/>
  <c r="N32" i="6"/>
  <c r="N30" i="6"/>
  <c r="N28" i="6"/>
  <c r="N26" i="6"/>
  <c r="N24" i="6"/>
  <c r="O101" i="6"/>
  <c r="M100" i="6"/>
  <c r="O97" i="6"/>
  <c r="M96" i="6"/>
  <c r="O93" i="6"/>
  <c r="M92" i="6"/>
  <c r="O89" i="6"/>
  <c r="M88" i="6"/>
  <c r="O85" i="6"/>
  <c r="M84" i="6"/>
  <c r="O81" i="6"/>
  <c r="M80" i="6"/>
  <c r="O77" i="6"/>
  <c r="M76" i="6"/>
  <c r="O73" i="6"/>
  <c r="M72" i="6"/>
  <c r="O69" i="6"/>
  <c r="M65" i="6"/>
  <c r="M64" i="6"/>
  <c r="N63" i="6"/>
  <c r="O62" i="6"/>
  <c r="O61" i="6"/>
  <c r="M57" i="6"/>
  <c r="M56" i="6"/>
  <c r="N55" i="6"/>
  <c r="O54" i="6"/>
  <c r="O53" i="6"/>
  <c r="M49" i="6"/>
  <c r="M48" i="6"/>
  <c r="N47" i="6"/>
  <c r="O46" i="6"/>
  <c r="O45" i="6"/>
  <c r="M44" i="6"/>
  <c r="O43" i="6"/>
  <c r="M42" i="6"/>
  <c r="O41" i="6"/>
  <c r="M40" i="6"/>
  <c r="O39" i="6"/>
  <c r="M38" i="6"/>
  <c r="O37" i="6"/>
  <c r="M36" i="6"/>
  <c r="O35" i="6"/>
  <c r="M34" i="6"/>
  <c r="O33" i="6"/>
  <c r="M32" i="6"/>
  <c r="O31" i="6"/>
  <c r="M30" i="6"/>
  <c r="O29" i="6"/>
  <c r="M28" i="6"/>
  <c r="O27" i="6"/>
  <c r="M26" i="6"/>
  <c r="O25" i="6"/>
  <c r="M24" i="6"/>
  <c r="O23" i="6"/>
  <c r="M101" i="6"/>
  <c r="O98" i="6"/>
  <c r="M93" i="6"/>
  <c r="O90" i="6"/>
  <c r="M85" i="6"/>
  <c r="O82" i="6"/>
  <c r="M77" i="6"/>
  <c r="N39" i="6"/>
  <c r="M97" i="6"/>
  <c r="O94" i="6"/>
  <c r="M89" i="6"/>
  <c r="O86" i="6"/>
  <c r="M81" i="6"/>
  <c r="O78" i="6"/>
  <c r="M73" i="6"/>
  <c r="O70" i="6"/>
  <c r="O68" i="6"/>
  <c r="M63" i="6"/>
  <c r="N61" i="6"/>
  <c r="O59" i="6"/>
  <c r="M54" i="6"/>
  <c r="O52" i="6"/>
  <c r="M47" i="6"/>
  <c r="N45" i="6"/>
  <c r="N41" i="6"/>
  <c r="N37" i="6"/>
  <c r="N33" i="6"/>
  <c r="N29" i="6"/>
  <c r="N25" i="6"/>
  <c r="N22" i="6"/>
  <c r="N20" i="6"/>
  <c r="N18" i="6"/>
  <c r="N16" i="6"/>
  <c r="N14" i="6"/>
  <c r="N12" i="6"/>
  <c r="N10" i="6"/>
  <c r="N8" i="6"/>
  <c r="N6" i="6"/>
  <c r="O99" i="6"/>
  <c r="M94" i="6"/>
  <c r="O91" i="6"/>
  <c r="M86" i="6"/>
  <c r="O83" i="6"/>
  <c r="M78" i="6"/>
  <c r="O75" i="6"/>
  <c r="M70" i="6"/>
  <c r="M68" i="6"/>
  <c r="O66" i="6"/>
  <c r="M61" i="6"/>
  <c r="N59" i="6"/>
  <c r="O57" i="6"/>
  <c r="M52" i="6"/>
  <c r="O50" i="6"/>
  <c r="M45" i="6"/>
  <c r="O42" i="6"/>
  <c r="M41" i="6"/>
  <c r="O38" i="6"/>
  <c r="M37" i="6"/>
  <c r="O34" i="6"/>
  <c r="M33" i="6"/>
  <c r="O30" i="6"/>
  <c r="M29" i="6"/>
  <c r="O26" i="6"/>
  <c r="M25" i="6"/>
  <c r="M22" i="6"/>
  <c r="O21" i="6"/>
  <c r="M20" i="6"/>
  <c r="O19" i="6"/>
  <c r="M18" i="6"/>
  <c r="O17" i="6"/>
  <c r="M16" i="6"/>
  <c r="O15" i="6"/>
  <c r="M14" i="6"/>
  <c r="O13" i="6"/>
  <c r="M12" i="6"/>
  <c r="O11" i="6"/>
  <c r="M10" i="6"/>
  <c r="O9" i="6"/>
  <c r="M8" i="6"/>
  <c r="O7" i="6"/>
  <c r="O74" i="6"/>
  <c r="N69" i="6"/>
  <c r="O67" i="6"/>
  <c r="M62" i="6"/>
  <c r="O60" i="6"/>
  <c r="M55" i="6"/>
  <c r="N53" i="6"/>
  <c r="O51" i="6"/>
  <c r="M46" i="6"/>
  <c r="N43" i="6"/>
  <c r="N35" i="6"/>
  <c r="N31" i="6"/>
  <c r="N27" i="6"/>
  <c r="N23" i="6"/>
  <c r="N21" i="6"/>
  <c r="N19" i="6"/>
  <c r="M90" i="6"/>
  <c r="O79" i="6"/>
  <c r="M69" i="6"/>
  <c r="O36" i="6"/>
  <c r="M31" i="6"/>
  <c r="M19" i="6"/>
  <c r="M17" i="6"/>
  <c r="O14" i="6"/>
  <c r="M13" i="6"/>
  <c r="O10" i="6"/>
  <c r="M9" i="6"/>
  <c r="O6" i="6"/>
  <c r="O16" i="6"/>
  <c r="M11" i="6"/>
  <c r="O8" i="6"/>
  <c r="O71" i="6"/>
  <c r="M43" i="6"/>
  <c r="O32" i="6"/>
  <c r="O22" i="6"/>
  <c r="N17" i="6"/>
  <c r="N9" i="6"/>
  <c r="C14" i="3"/>
  <c r="M98" i="6"/>
  <c r="O87" i="6"/>
  <c r="N67" i="6"/>
  <c r="M60" i="6"/>
  <c r="M53" i="6"/>
  <c r="O40" i="6"/>
  <c r="M35" i="6"/>
  <c r="O24" i="6"/>
  <c r="M21" i="6"/>
  <c r="O18" i="6"/>
  <c r="N15" i="6"/>
  <c r="N11" i="6"/>
  <c r="N7" i="6"/>
  <c r="O95" i="6"/>
  <c r="M74" i="6"/>
  <c r="O65" i="6"/>
  <c r="O58" i="6"/>
  <c r="N51" i="6"/>
  <c r="O44" i="6"/>
  <c r="M39" i="6"/>
  <c r="O28" i="6"/>
  <c r="M23" i="6"/>
  <c r="O20" i="6"/>
  <c r="M15" i="6"/>
  <c r="O12" i="6"/>
  <c r="M7" i="6"/>
  <c r="M82" i="6"/>
  <c r="O49" i="6"/>
  <c r="M27" i="6"/>
  <c r="N13" i="6"/>
  <c r="C9" i="3"/>
  <c r="F7" i="6"/>
  <c r="F11" i="6"/>
  <c r="F15" i="6"/>
  <c r="F19" i="6"/>
  <c r="F23" i="6"/>
  <c r="F27" i="6"/>
  <c r="F31" i="6"/>
  <c r="F35" i="6"/>
  <c r="F39" i="6"/>
  <c r="F43" i="6"/>
  <c r="F47" i="6"/>
  <c r="F51" i="6"/>
  <c r="F55" i="6"/>
  <c r="F59" i="6"/>
  <c r="F63" i="6"/>
  <c r="F67" i="6"/>
  <c r="F71" i="6"/>
  <c r="F8" i="6"/>
  <c r="F9" i="6"/>
  <c r="F10" i="6"/>
  <c r="F24" i="6"/>
  <c r="F25" i="6"/>
  <c r="F26" i="6"/>
  <c r="F40" i="6"/>
  <c r="F41" i="6"/>
  <c r="F42" i="6"/>
  <c r="F16" i="6"/>
  <c r="F17" i="6"/>
  <c r="F18" i="6"/>
  <c r="F32" i="6"/>
  <c r="F33" i="6"/>
  <c r="F34" i="6"/>
  <c r="F48" i="6"/>
  <c r="F49" i="6"/>
  <c r="F50" i="6"/>
  <c r="F64" i="6"/>
  <c r="F65" i="6"/>
  <c r="F66" i="6"/>
  <c r="F76" i="6"/>
  <c r="F80" i="6"/>
  <c r="F84" i="6"/>
  <c r="F88" i="6"/>
  <c r="F92" i="6"/>
  <c r="F96" i="6"/>
  <c r="F100" i="6"/>
  <c r="F12" i="6"/>
  <c r="F13" i="6"/>
  <c r="F14" i="6"/>
  <c r="F28" i="6"/>
  <c r="F29" i="6"/>
  <c r="F30" i="6"/>
  <c r="F44" i="6"/>
  <c r="F45" i="6"/>
  <c r="F46" i="6"/>
  <c r="F60" i="6"/>
  <c r="F61" i="6"/>
  <c r="F62" i="6"/>
  <c r="F77" i="6"/>
  <c r="F20" i="6"/>
  <c r="F37" i="6"/>
  <c r="F53" i="6"/>
  <c r="F68" i="6"/>
  <c r="F70" i="6"/>
  <c r="F79" i="6"/>
  <c r="F89" i="6"/>
  <c r="F90" i="6"/>
  <c r="F91" i="6"/>
  <c r="F21" i="6"/>
  <c r="F38" i="6"/>
  <c r="F56" i="6"/>
  <c r="F58" i="6"/>
  <c r="F73" i="6"/>
  <c r="F78" i="6"/>
  <c r="F85" i="6"/>
  <c r="F86" i="6"/>
  <c r="F87" i="6"/>
  <c r="F52" i="6"/>
  <c r="F69" i="6"/>
  <c r="F82" i="6"/>
  <c r="F98" i="6"/>
  <c r="F101" i="6"/>
  <c r="F36" i="6"/>
  <c r="F57" i="6"/>
  <c r="F74" i="6"/>
  <c r="F93" i="6"/>
  <c r="F95" i="6"/>
  <c r="F97" i="6"/>
  <c r="F22" i="6"/>
  <c r="F54" i="6"/>
  <c r="F75" i="6"/>
  <c r="F81" i="6"/>
  <c r="F83" i="6"/>
  <c r="F6" i="6"/>
  <c r="F72" i="6"/>
  <c r="F94" i="6"/>
  <c r="F99" i="6"/>
  <c r="D7" i="6"/>
  <c r="D11" i="6"/>
  <c r="D15" i="6"/>
  <c r="D19" i="6"/>
  <c r="D23" i="6"/>
  <c r="D27" i="6"/>
  <c r="D31" i="6"/>
  <c r="D35" i="6"/>
  <c r="D39" i="6"/>
  <c r="D43" i="6"/>
  <c r="D47" i="6"/>
  <c r="D51" i="6"/>
  <c r="D55" i="6"/>
  <c r="D59" i="6"/>
  <c r="D63" i="6"/>
  <c r="D67" i="6"/>
  <c r="D71" i="6"/>
  <c r="D75" i="6"/>
  <c r="D79" i="6"/>
  <c r="D87" i="6"/>
  <c r="D99" i="6"/>
  <c r="D16" i="6"/>
  <c r="D28" i="6"/>
  <c r="D36" i="6"/>
  <c r="D44" i="6"/>
  <c r="D52" i="6"/>
  <c r="D60" i="6"/>
  <c r="D68" i="6"/>
  <c r="D72" i="6"/>
  <c r="D80" i="6"/>
  <c r="D88" i="6"/>
  <c r="D96" i="6"/>
  <c r="D9" i="6"/>
  <c r="D13" i="6"/>
  <c r="D17" i="6"/>
  <c r="D21" i="6"/>
  <c r="D25" i="6"/>
  <c r="D29" i="6"/>
  <c r="D33" i="6"/>
  <c r="D37" i="6"/>
  <c r="D41" i="6"/>
  <c r="D45" i="6"/>
  <c r="D49" i="6"/>
  <c r="D53" i="6"/>
  <c r="D57" i="6"/>
  <c r="D61" i="6"/>
  <c r="D65" i="6"/>
  <c r="D69" i="6"/>
  <c r="D73" i="6"/>
  <c r="D77" i="6"/>
  <c r="D81" i="6"/>
  <c r="D85" i="6"/>
  <c r="D89" i="6"/>
  <c r="D93" i="6"/>
  <c r="D97" i="6"/>
  <c r="D101" i="6"/>
  <c r="D10" i="6"/>
  <c r="D14" i="6"/>
  <c r="D18" i="6"/>
  <c r="D22" i="6"/>
  <c r="D26" i="6"/>
  <c r="D30" i="6"/>
  <c r="D34" i="6"/>
  <c r="D38" i="6"/>
  <c r="D42" i="6"/>
  <c r="D46" i="6"/>
  <c r="D50" i="6"/>
  <c r="D54" i="6"/>
  <c r="D58" i="6"/>
  <c r="D62" i="6"/>
  <c r="D66" i="6"/>
  <c r="D70" i="6"/>
  <c r="D74" i="6"/>
  <c r="D78" i="6"/>
  <c r="D82" i="6"/>
  <c r="D86" i="6"/>
  <c r="D90" i="6"/>
  <c r="D94" i="6"/>
  <c r="D98" i="6"/>
  <c r="D83" i="6"/>
  <c r="D91" i="6"/>
  <c r="D95" i="6"/>
  <c r="D8" i="6"/>
  <c r="D12" i="6"/>
  <c r="D20" i="6"/>
  <c r="D24" i="6"/>
  <c r="D32" i="6"/>
  <c r="D40" i="6"/>
  <c r="D48" i="6"/>
  <c r="D56" i="6"/>
  <c r="D64" i="6"/>
  <c r="D76" i="6"/>
  <c r="D84" i="6"/>
  <c r="D92" i="6"/>
  <c r="D100" i="6"/>
  <c r="D10" i="3"/>
  <c r="C26" i="3" l="1"/>
  <c r="C8" i="3" s="1"/>
  <c r="D31" i="3"/>
  <c r="E31" i="3"/>
  <c r="E26" i="3"/>
  <c r="D26" i="3"/>
  <c r="C31" i="3"/>
  <c r="C13" i="3" s="1"/>
  <c r="E9" i="3"/>
  <c r="E14" i="3"/>
  <c r="D14" i="3"/>
  <c r="C10" i="4"/>
  <c r="C9" i="4" s="1"/>
  <c r="C13" i="4" s="1"/>
  <c r="C10" i="3"/>
  <c r="E10" i="3"/>
  <c r="D8" i="3" l="1"/>
  <c r="D18" i="3" s="1"/>
  <c r="D13" i="3"/>
  <c r="E13" i="3"/>
  <c r="E8" i="3"/>
  <c r="C14" i="4"/>
  <c r="C5" i="3"/>
  <c r="D5" i="3" l="1"/>
  <c r="E18" i="3"/>
  <c r="C9" i="5"/>
  <c r="C6" i="4"/>
  <c r="C5" i="4" s="1"/>
  <c r="D9" i="4"/>
  <c r="D13" i="4" s="1"/>
  <c r="E5" i="3"/>
  <c r="C4" i="5" l="1"/>
  <c r="D9" i="5"/>
  <c r="D6" i="4"/>
  <c r="D5" i="4" s="1"/>
  <c r="J22" i="1"/>
  <c r="E9" i="4"/>
  <c r="E13" i="4" s="1"/>
  <c r="K22" i="1" l="1"/>
  <c r="D4" i="5"/>
  <c r="K17" i="1" s="1"/>
  <c r="J17" i="1"/>
  <c r="D57" i="1" l="1"/>
  <c r="D10" i="5" l="1"/>
  <c r="D8" i="5" s="1"/>
  <c r="E6" i="4"/>
  <c r="E5" i="4" s="1"/>
  <c r="C10" i="5"/>
  <c r="C8" i="5" s="1"/>
  <c r="D5" i="5" l="1"/>
  <c r="D3" i="5" s="1"/>
  <c r="C49" i="5" s="1"/>
  <c r="C5" i="5"/>
  <c r="C3" i="5" s="1"/>
  <c r="C44" i="5" s="1"/>
  <c r="J23" i="1"/>
  <c r="K23" i="1"/>
  <c r="K21" i="1" l="1"/>
  <c r="K30" i="1" s="1"/>
  <c r="J21" i="1"/>
  <c r="J30" i="1" s="1"/>
  <c r="J18" i="1"/>
  <c r="K18" i="1"/>
  <c r="J16" i="1" l="1"/>
  <c r="K16" i="1"/>
  <c r="K29" i="1" s="1"/>
  <c r="J29" i="1" l="1"/>
  <c r="P27" i="1"/>
  <c r="S27" i="1" l="1"/>
  <c r="P41" i="1" s="1"/>
  <c r="P22" i="1"/>
  <c r="S22" i="1" s="1"/>
  <c r="P36" i="1" s="1"/>
  <c r="C40" i="5"/>
  <c r="P18" i="1" s="1"/>
  <c r="S18" i="1" s="1"/>
  <c r="P32" i="1" s="1"/>
  <c r="C46" i="5"/>
  <c r="P24" i="1" s="1"/>
  <c r="S24" i="1" s="1"/>
  <c r="P38" i="1" s="1"/>
  <c r="C47" i="5"/>
  <c r="P25" i="1" s="1"/>
  <c r="S25" i="1" s="1"/>
  <c r="P39" i="1" s="1"/>
  <c r="C48" i="5"/>
  <c r="P26" i="1" s="1"/>
  <c r="S26" i="1" s="1"/>
  <c r="P40" i="1" s="1"/>
  <c r="C45" i="5"/>
  <c r="P23" i="1" s="1"/>
  <c r="S23" i="1" s="1"/>
  <c r="P37" i="1" s="1"/>
  <c r="C41" i="5"/>
  <c r="P19" i="1" s="1"/>
  <c r="S19" i="1" s="1"/>
  <c r="P33" i="1" s="1"/>
  <c r="C43" i="5"/>
  <c r="P21" i="1" s="1"/>
  <c r="S21" i="1" s="1"/>
  <c r="P35" i="1" s="1"/>
  <c r="C42" i="5"/>
  <c r="P20" i="1" s="1"/>
  <c r="S20" i="1" s="1"/>
  <c r="P34" i="1" s="1"/>
</calcChain>
</file>

<file path=xl/comments1.xml><?xml version="1.0" encoding="utf-8"?>
<comments xmlns="http://schemas.openxmlformats.org/spreadsheetml/2006/main">
  <authors>
    <author>TGobmaier</author>
  </authors>
  <commentList>
    <comment ref="D47" authorId="0">
      <text>
        <r>
          <rPr>
            <sz val="8"/>
            <color indexed="81"/>
            <rFont val="Tahoma"/>
            <family val="2"/>
          </rPr>
          <t xml:space="preserve">Die Referenzprognose mit Fokus Deutschland hat für diese Daten mit hoher örtlicher Auflösung keine Vorgaben. </t>
        </r>
      </text>
    </comment>
    <comment ref="D50" authorId="0">
      <text>
        <r>
          <rPr>
            <sz val="8"/>
            <color indexed="81"/>
            <rFont val="Tahoma"/>
            <family val="2"/>
          </rPr>
          <t xml:space="preserve">Die Referenzprognose mit Fokus Deutschland hat für diese Daten mit hoher örtlicher Auflösung keine Vorgaben. </t>
        </r>
      </text>
    </comment>
    <comment ref="D53" authorId="0">
      <text>
        <r>
          <rPr>
            <sz val="8"/>
            <color indexed="81"/>
            <rFont val="Tahoma"/>
            <family val="2"/>
          </rPr>
          <t xml:space="preserve">Die Referenzprognose mit Fokus Deutschland hat für diese Daten mit hoher örtlicher Auflösung keine Vorgaben. </t>
        </r>
      </text>
    </comment>
  </commentList>
</comments>
</file>

<file path=xl/sharedStrings.xml><?xml version="1.0" encoding="utf-8"?>
<sst xmlns="http://schemas.openxmlformats.org/spreadsheetml/2006/main" count="291" uniqueCount="174">
  <si>
    <t>Parameter</t>
  </si>
  <si>
    <t>GHD</t>
  </si>
  <si>
    <t>Industrie</t>
  </si>
  <si>
    <t>Vollbenutzungsstunden</t>
  </si>
  <si>
    <t>heute</t>
  </si>
  <si>
    <t>RLM</t>
  </si>
  <si>
    <t>differenziert</t>
  </si>
  <si>
    <t>Parameter Eingabe</t>
  </si>
  <si>
    <t>berechnet</t>
  </si>
  <si>
    <t>Berechnungen FfE</t>
  </si>
  <si>
    <t>GHD + HH</t>
  </si>
  <si>
    <t>Berechnung</t>
  </si>
  <si>
    <t>berechnet aus Eingabedaten</t>
  </si>
  <si>
    <t>Fester Wert</t>
  </si>
  <si>
    <t>Ausgabe</t>
  </si>
  <si>
    <t>EFH</t>
  </si>
  <si>
    <t>MFH</t>
  </si>
  <si>
    <t>SLP gesamt</t>
  </si>
  <si>
    <t>Änderung Verbrauch GHD</t>
  </si>
  <si>
    <t>Änderung Verbrauch Industrie 2020</t>
  </si>
  <si>
    <t>Änderung Verbrauch Industrie 2025</t>
  </si>
  <si>
    <t>Berechnungen aus Eingabedaten</t>
  </si>
  <si>
    <t>Verbrauch EFH</t>
  </si>
  <si>
    <t>Kapazität EFH</t>
  </si>
  <si>
    <t>Vebrauch MFH</t>
  </si>
  <si>
    <t>Kapazität MFH</t>
  </si>
  <si>
    <t>Verbrauch GHD</t>
  </si>
  <si>
    <t>Kapazität GHD</t>
  </si>
  <si>
    <t>Aus Kundenwerten</t>
  </si>
  <si>
    <t>Eingabedaten und Kundenwerte</t>
  </si>
  <si>
    <t>Berechnungen aus Kundenwerten</t>
  </si>
  <si>
    <t>Eingangsdaten FfE</t>
  </si>
  <si>
    <t>Eingabe</t>
  </si>
  <si>
    <t>PLZ2</t>
  </si>
  <si>
    <t>GESAMT</t>
  </si>
  <si>
    <t>Bestand</t>
  </si>
  <si>
    <t>NEUBAU</t>
  </si>
  <si>
    <t>Gewerbe</t>
  </si>
  <si>
    <t>Faktor Neubau EFH</t>
  </si>
  <si>
    <t>Faktor Neubau MFH</t>
  </si>
  <si>
    <t>Faktor SLP</t>
  </si>
  <si>
    <t>bis 2020</t>
  </si>
  <si>
    <t>bis 2025</t>
  </si>
  <si>
    <t>Tool zur Berechnung des Kapazitätsbedarfs in Verteilnetzen</t>
  </si>
  <si>
    <t>Fester Wert aus Studie</t>
  </si>
  <si>
    <t xml:space="preserve">Grundsätzlich gilt für alle Tabellenfelder folgende Farbmarkierung. </t>
  </si>
  <si>
    <t xml:space="preserve">Hier soll die Kapazität des gesamten Netzes, die durch die interne Bestellung resultiert, angegeben werden. </t>
  </si>
  <si>
    <t xml:space="preserve">Hier soll die Summe der Kundenwerte aller Mehrfamilienhäuser angegeben werden. </t>
  </si>
  <si>
    <t xml:space="preserve">Hier soll die Auslegungstemperatur angegeben werden. Sie hat einen Einfluss auf das Verhältnis von Energie und Leistung des SLP-Segments. </t>
  </si>
  <si>
    <t>Zusätzlich gibt es die Möglichkeit folgende optionale Parameter zu variieren:</t>
  </si>
  <si>
    <t>Es existieren folgende, obligatorisch anzugebene Eingabeparameter:</t>
  </si>
  <si>
    <t>Beschreibung</t>
  </si>
  <si>
    <t>Jahr</t>
  </si>
  <si>
    <t>Kapazität gesamt Berechnung</t>
  </si>
  <si>
    <t>Kapazitätsprognose bis 2025</t>
  </si>
  <si>
    <t>Eingabe obligatorisch:</t>
  </si>
  <si>
    <t>Eingabe optional</t>
  </si>
  <si>
    <t>Normierte Werte auf Jahresverbrauch</t>
  </si>
  <si>
    <t>in MW</t>
  </si>
  <si>
    <t>Optional: Bei Überschneidung zweites PLZ2-Gebiet</t>
  </si>
  <si>
    <r>
      <t xml:space="preserve">Hier soll der </t>
    </r>
    <r>
      <rPr>
        <b/>
        <sz val="11"/>
        <color theme="1"/>
        <rFont val="Calibri"/>
        <family val="2"/>
        <scheme val="minor"/>
      </rPr>
      <t xml:space="preserve">mittlere Verbrauch </t>
    </r>
    <r>
      <rPr>
        <sz val="11"/>
        <color theme="1"/>
        <rFont val="Calibri"/>
        <family val="2"/>
        <scheme val="minor"/>
      </rPr>
      <t>des SLP-Segments angegeben werden (für mittleren Verbrauch siehe Beschreibung Verbrauch gesamt).</t>
    </r>
  </si>
  <si>
    <r>
      <t xml:space="preserve">Hier soll der </t>
    </r>
    <r>
      <rPr>
        <b/>
        <sz val="11"/>
        <color theme="1"/>
        <rFont val="Calibri"/>
        <family val="2"/>
        <scheme val="minor"/>
      </rPr>
      <t>mittlere Verbrauch</t>
    </r>
    <r>
      <rPr>
        <sz val="11"/>
        <color theme="1"/>
        <rFont val="Calibri"/>
        <family val="2"/>
        <scheme val="minor"/>
      </rPr>
      <t xml:space="preserve"> des RLM-Segments abzüglich des Verbrauchs für Erzeugungsanlagen angegeben werden (für mittleren Verbrauch siehe Beschreibung Verbrauch gesamt).</t>
    </r>
  </si>
  <si>
    <t>Die Verbrauchsänderung des Sektors GHD. In den vorgeschlagenen Werten sind Wachstum und Veränderung des spezifischen Verbrauchs bereits berücksichtigt. Wird hier Wert eingetragen, so wird dieser anstelle des vorgeschlagenen Wertes verwendet. Es erfolgt  eine Anpassung des GHD-Bereichs in den Segmenten SLP und RLM.</t>
  </si>
  <si>
    <t xml:space="preserve">Die Verbrauchsänderung der Industrie. In den vorgeschlagenen Werten der Referenzprognose sind Wachstum und Veränderung des spezifischen Verbrauchs bereits berücksichtigt. Wird hier ein Wert eingetragen, so wird dieser an Stelle des vorgeschlagenen Wertes verwendet. </t>
  </si>
  <si>
    <t>Format der Zellen:</t>
  </si>
  <si>
    <t>Ergebnis Kapazität und Verbrauch</t>
  </si>
  <si>
    <t>Ergebnis relative Änderungen</t>
  </si>
  <si>
    <t>Erste 2 Stellen der PLZ des Netzgebiets (PLZ2-Gebiet)</t>
  </si>
  <si>
    <t>Erste 2 Stellen des zweiten PLZ2 - Gebiets</t>
  </si>
  <si>
    <t>Anteil an Verbrauch zweites PLZ2-Gebiet (keine Eingabe, zur Kontrolle)</t>
  </si>
  <si>
    <t>Anteil des GHD-Verbrauchs an Verbrauch RLM [in %]</t>
  </si>
  <si>
    <t>Kundenwerte EFH (Summe aller Ausprägungen) [in MWh]</t>
  </si>
  <si>
    <t>Kundenwerte MFH (Summe aller Ausprägungen) [in MWh ]</t>
  </si>
  <si>
    <t>Verbrauch gesamt [in MWh]</t>
  </si>
  <si>
    <t>Leistungsbedarf SLP [in MW]  (bei Bedarf: Restlast verwenden)</t>
  </si>
  <si>
    <t>Leistungsbedarf RLM [in MW]</t>
  </si>
  <si>
    <t>Leistungsbedarf Kraftwerke [in MW]</t>
  </si>
  <si>
    <t>Leistungsbedarf gesamt [in MW]</t>
  </si>
  <si>
    <t>Anteil an Verbrauch erstes PLZ2-Gebiet [in %]</t>
  </si>
  <si>
    <t>Auslegungstemperatur [in °C]</t>
  </si>
  <si>
    <t>Vorschlag nach Referenzprognose [in % pro Jahr]</t>
  </si>
  <si>
    <t xml:space="preserve">Quote Nachverdichtung HH [in % vom Bestand, pro Jahr] </t>
  </si>
  <si>
    <t>Vorschlag nach Referenzprognose</t>
  </si>
  <si>
    <t>Neubauquote EFH [in % vom Bestand EFH pro Jahr]</t>
  </si>
  <si>
    <t>Neubauquote MFH [in % vom Bestand MFH pro Jahr]</t>
  </si>
  <si>
    <t>Kapazität gesamt [in MW]</t>
  </si>
  <si>
    <t>Verbrauch RLM ohne Kraftwerke [in MWh]</t>
  </si>
  <si>
    <t>Leistungsbedarf SLP [in MW]</t>
  </si>
  <si>
    <t>Individuelle Anpassung nachgelagerte Netze</t>
  </si>
  <si>
    <t>Ergebnis mit individuellen Anpassungen</t>
  </si>
  <si>
    <t>SLP-Verbrauch differenziert [in MWh]</t>
  </si>
  <si>
    <t>SLP-Kapazität differenziert [in MW]</t>
  </si>
  <si>
    <t>Verbrauch Eingabedaten [in MWh]</t>
  </si>
  <si>
    <t>Verbrauch Kundenwerte [in MWh]</t>
  </si>
  <si>
    <t>Kapazität Eingabedaten [in MW]</t>
  </si>
  <si>
    <t>Kapazität Kundenwerte [in MW]</t>
  </si>
  <si>
    <t>SLP-Verbrauch differenziert Bestand [in MWh]</t>
  </si>
  <si>
    <t>SLP-Kapazität differenziert Bestand [in MW]</t>
  </si>
  <si>
    <t>SLP Verbrauch differenziert [in MWh]</t>
  </si>
  <si>
    <t>SLP Kapazität differenziert  [in MW]</t>
  </si>
  <si>
    <t>Vollbenutzungsstunden [in h]</t>
  </si>
  <si>
    <t>Kapazität [in MW]</t>
  </si>
  <si>
    <t>Verbrauch [in MW]</t>
  </si>
  <si>
    <t>Energie [in MWh]</t>
  </si>
  <si>
    <t>Neubauquote [jährlich in %]</t>
  </si>
  <si>
    <t>Alle Werte in %</t>
  </si>
  <si>
    <t>[in MW, entsprechend Normierung]</t>
  </si>
  <si>
    <t>[in MWh, normiert auf 1000]</t>
  </si>
  <si>
    <t>Entwicklung des Leistungsbedarfs gesamt [in %]</t>
  </si>
  <si>
    <t>Entwicklung des Verbrauchs gesamt [in %]</t>
  </si>
  <si>
    <t>Verbrauch SLP [in MWh]</t>
  </si>
  <si>
    <t>für Berechnung mit Anpassung GHD</t>
  </si>
  <si>
    <t>Energiereferenzprognose Deutschland</t>
  </si>
  <si>
    <t>Verbrauchsänderung Industrie</t>
  </si>
  <si>
    <t>Verbrauchänderung GHD</t>
  </si>
  <si>
    <t>Vorschlag nach Energiereferenzprognose</t>
  </si>
  <si>
    <t>Berechnung über konstanten Leistungsbedarf</t>
  </si>
  <si>
    <t>Liste Auswahlmöglichkeiten Leistungsberechnung Industrie</t>
  </si>
  <si>
    <t>Berechnung über konstante Vollbenutzungsstunden</t>
  </si>
  <si>
    <t>Berechnungsart</t>
  </si>
  <si>
    <t>Index</t>
  </si>
  <si>
    <t>Text</t>
  </si>
  <si>
    <t>[in % pro Jahr bezogen auf jeweiligen Sektor]</t>
  </si>
  <si>
    <t>Keine Berechnung möglich, bitte Auswahl treffen!</t>
  </si>
  <si>
    <t>Verbrauchsänderung Industrie (energetische Änderung) [in % pro Jahr]</t>
  </si>
  <si>
    <t>Nachverdichtung (Neuanschluss von Verbrauchern durch Umstieg auf Erdgas)</t>
  </si>
  <si>
    <t xml:space="preserve">Quote Nachverdichtung Industrie [in % vom Bestand, pro Jahr] </t>
  </si>
  <si>
    <t xml:space="preserve">Quote Nachverdichtung GHD [in % vom Bestand, pro Jahr] </t>
  </si>
  <si>
    <t>Neubauquoten von privaten Haushalten</t>
  </si>
  <si>
    <t>Index Auswahlbox</t>
  </si>
  <si>
    <t>Faktor Neubau</t>
  </si>
  <si>
    <t>Indidviduelle Anpassung bei Kenntnis über konkrete Leistungsveränderung</t>
  </si>
  <si>
    <t>Änderung des Energieverbrauchs entsprechend Referenzprognose (regionales Wachstum sowie Sanierung bereits berücksichtigt)</t>
  </si>
  <si>
    <t>Energie und Leistung Haushalte</t>
  </si>
  <si>
    <t>Vorschlag FfE nach Energiereferenzprognose</t>
  </si>
  <si>
    <t>Über diesen Faktor kann angegeben werden, ob neue Industriekunden in Bestandsgebieten hinzukommen. Es wird angenommen, dass das Verbraucherverhalten dem der bereits angeschlossenen Kunden entspricht. 
Da die Referenzprognose den Fokus auf Deutschland legt, konnten für diese regional sehr unterschiedlichen Daten keine Aussage gemacht werden. Hier kann der Nutzer die Werte aus seiner Erfahrung eintragen.</t>
  </si>
  <si>
    <t xml:space="preserve">Die Neubauqote für Einfamilienhäuser (EFH) pro Jahr anteilig am Bestand an EFH. Wird ein Wert eingetragen, wird dieser anstelle des vorgeschlagenen Wertes verwendet. </t>
  </si>
  <si>
    <t xml:space="preserve">Die Neubauqote für Mehrfamilienhäuser (MFH) pro Jahr, anteilig am Bestand der MFH. Wird ein Wert eingetragen, wird dieser anstelle des vorgeschlagenen Wertes verwendet. </t>
  </si>
  <si>
    <t>Über diesen Faktor kann angegeben werden, ob neue GHD-Kunden (Gewerbe, Handel und Dienstleistungen) in Bestandsgebieten hinzukommen. Es wird ebenfalls angenommen, dass sich diese Kunden im Gasbezugsverhalten den bereits angeschlossenen Kunden gleichen.
Da die Referenzprognose den Fokus auf Deutschland legt, konnten für diese regional sehr unterschiedlichen Daten keine Aussage gemacht werden. Hier kann der Nutzer die Werte aus seiner Erfahrung eintragen.</t>
  </si>
  <si>
    <t>Hier soll der Kapazitätsbedarf der RLM-Kunden angegeben werden, der bei einer Anwendung der internen Bestellung auf das Segment RLM resultiert.</t>
  </si>
  <si>
    <t>Leistungsbedarf SLP [in MW]  (alternativ Restlast verwenden)</t>
  </si>
  <si>
    <t>Entwicklung der Volllaststunden in der Industrie</t>
  </si>
  <si>
    <t>Hier soll die Kapazität der SLP-Last bzw. Restlast, die bei einer Anwendung der internen Bestellung auf die Restlast resultiert, angegeben werden</t>
  </si>
  <si>
    <r>
      <t xml:space="preserve">Hier soll ein </t>
    </r>
    <r>
      <rPr>
        <b/>
        <sz val="11"/>
        <color theme="1"/>
        <rFont val="Calibri"/>
        <family val="2"/>
        <scheme val="minor"/>
      </rPr>
      <t>mittlerer Verbrauch</t>
    </r>
    <r>
      <rPr>
        <sz val="11"/>
        <color theme="1"/>
        <rFont val="Calibri"/>
        <family val="2"/>
        <scheme val="minor"/>
      </rPr>
      <t xml:space="preserve"> des Netzes angegeben werden. Es kann hierfür entweder ein temperaturbereinigter Verbrauch verwendet werden, oder die Mittelwerte der Jahre 2012 und 2013, falls das sich das Netz in diesem Zeitraum nicht wesentlich verändert hat (Konzessionsabgänge, Netzausbau).</t>
    </r>
  </si>
  <si>
    <t>Leistungsbedarf Erzeugungsanlagen bzw. Kraftwerke [in MW]</t>
  </si>
  <si>
    <t xml:space="preserve">Hier soll die Kapazität der Erzeugungsanlagen (Kraftwerke, Heizkraftwerke und Heizwerke) angegeben werden. Sie wird bis 2025 als konstant angenommen. </t>
  </si>
  <si>
    <t>Verbrauch RLM ohne Erzeugungsanlagen bzw. Kraftwerke [in MWh]</t>
  </si>
  <si>
    <t xml:space="preserve">Die Untersuchung konnte für den Sektor Industrie keine Aussage treffen, wie sich die Volllaststunden (Verhältnis aus Enerigeverbrauch und Kapazität) bei einer Änderung des Verbrauchs verhalten. Der Nutzer muss hier selbst eine Auswahl zwischen zwei als plausibel eingestuften Trends treffen.
Auswahlmöglichkeiten sind:
 - die Annahme konstanter Vollbenutzungsstunden, die eine konsistente Veränderung 
   der Kapazität gegenüber dem Verbrauch beschreibt, und  
 - die Annahme eines konstanten Leistungsbedarfs, die bei dem durch die 
   Energiereferenzprognose gegebenen Verbrauchsrückgang einen gleichbleibenden
   Kapazitätsbedarf nach sich zieht. </t>
  </si>
  <si>
    <t>Hier sollen die ersten zwei Stellen der Postleitzahl angegeben werden. Dies dient der Bewertung der regionalen Entwicklung. Die Kombination 00 ergibt die Entwicklung für Deutschland. 
Beispiel: Für die Postleitzahl 85667 wird 85 eingegeben.</t>
  </si>
  <si>
    <t xml:space="preserve">        (ohne individuelle Anpassung)</t>
  </si>
  <si>
    <t xml:space="preserve">Für Netze, die sich an der Grenze von zwei PLZ2-Gebieten befinden, gibt es die Möglichkeit zwei PLZ2-Gebiete anzugeben. Wird diese Option gewünsch, dann soll in diesem Feld angegeben werden, wieviel des Gesamtverbrauchs in PLZ-Gebiet 1 entsteht. Der Anteil des zweiten Gebiets wird berechnet. </t>
  </si>
  <si>
    <t>Anteil des GHD-Verbrauchs an Verbrauch RLM [in %]
(ohne Erzeugungsanlagen bzw. Kraftwerke)</t>
  </si>
  <si>
    <t>(ohne Erzeugungsanlagen bzw. Kraftwerke)</t>
  </si>
  <si>
    <t>Hier soll die Summe der Kundenwerte aller Gewerbe-Profile (GHD-Verbraucher) im SLP angegeben werden.</t>
  </si>
  <si>
    <t>Kundenwerte Gewerbe/GHD [in MWh]</t>
  </si>
  <si>
    <t xml:space="preserve">Hier soll die Summe der Anteile von GHD (Gewerbe, Handel und Dienstleistungen) und Haushalte im RLM-Segment angegeben werden, da diese auch mit dynamischen Vollbenutzungsstunden berücksichtigt werden. </t>
  </si>
  <si>
    <t>Unterscheidung Nachverdichtung und Verbrauchsänderungen</t>
  </si>
  <si>
    <t>Die BMWi-Energiereferenzprognose hat untersucht, wie sich die Verbraucher Deutschlands zukünftig under dem Einfluss endogener und exogener Parameter verhalten werden. Daraus resultiert in allen Sektoren eine Verbrauchsänderung, welche für mittlere bzw. typische Verbraucher gilt. 
Eine regionale Betrachtung auf Siedlungsebene bzw. auf der Ebene einzelner Betriebe war nicht möglich. Daher wird hier zwischen Nachverdichtung und Verbrauchsänderung und Neubauten unterschieden:
 - Die Nachverdichtung gibt die anteilige Rate der neu angeschlossenen Kunden wieder, 
    welche z.B. von Heizöl auf Erdgas wechseln (nicht in Referenzprognose betrachet).
 - Die Verbrauchsänderung gibt die Änderung des Energieverbrauchs wieder, 
    welcher für alle Kunden des jeweiligen Segments gilt (in Referenzprognose betrachtet)
 - Die Neubauquote gibt den Anschluss von Neubauten wieder (in Referenzprognose
   betrachtet)</t>
  </si>
  <si>
    <t xml:space="preserve">Quote Nachverdichtung Industrie [in % vom Bestand Industrie, pro Jahr] </t>
  </si>
  <si>
    <t xml:space="preserve">Quote Nachverdichtung GHD [in % vom Bestand GHD, pro Jahr] </t>
  </si>
  <si>
    <t xml:space="preserve">Quote Nachverdichtung HH [in % vom Bestand HH, pro Jahr] </t>
  </si>
  <si>
    <t>Individuelle Anpassungen</t>
  </si>
  <si>
    <t>Verbrauchsänderung GHD (energetische Änderung) [in % pro Jahr]</t>
  </si>
  <si>
    <t>Drittnetze ohne separaten Zählpunkt</t>
  </si>
  <si>
    <t>Bei Drittnetze ohne Zählpunkte ist die gesamte Auswertung auch für das Drittnetz zu erstellen. Induviduelle Anpassungen in Drittnetzen können in einer separaten Spalte bei den individuellen Anpassungen angegeben werden.
Ist eine bilanzielle Trennung der Netze möglich, so sollte der Netzbetreibers des nachgelagerten Netzes eine eigene Berechnung des zukünftigen Kapazitätsbedarfs durchführen.</t>
  </si>
  <si>
    <t>Für Netze, die sich an der Grenze von zwei PLZ2-Gebieten befinden, gibt es die Möglichkeit die PLZ2 des zweiten Netzgebietes anzugeben. 
Überdeckt ein Netz mehr als zwei PLZ2 Gebiete, so sollten die zwei PLZ2 Gebiete mit dem höchsten Verbrauchsanteil gewählt werden.</t>
  </si>
  <si>
    <t>Bereich für eigene Notizen</t>
  </si>
  <si>
    <t xml:space="preserve">Forschungsgesellschaft für Energiewirtschaft GmbH
Dr.-Ing. Thomas Gobmaier, Benedikt Eberl
Am Blütenanger 71, 80995 München
Tel: +49 (0)89 158 121 -52 bzw. -47
e-mail: TGobmaier@ffe.de  bzw.   Beberl@ffe.de
Internet: http://www.ffegmbh.de </t>
  </si>
  <si>
    <t xml:space="preserve">Hier soll die Summe der Kundenwerte aller Einfamilienhäuser angegeben werden. Sind diese nicht bekannt (z.B. bei analytischem SLP-Verfahren), dann kann in diesen Eingabefeldern auch die Verteilung des Verbrauchs zwischen Einfamilienhäusern, Mehrfamilienhäusern und GHD angegeben werden. </t>
  </si>
  <si>
    <t>Das Tool bietet auch die Möglichkeit der Eingabe von Kapazitätsänderungen, welche detailliert bekannt sind. So kann z.B. ein großer Industriebetrieb der im Jahr 2017 angeschlossen wird, direkt im Bereich 'Ergebnis mit individuellen Anpassungen' im rechten Bereich des Arbeitsblattes eingegeben werden. Eine doppelte Berücksichtigung dieses Betriebes bei den anderen Parametern ist nicht mehr notwendig. Es kann auch die leistungsbedarfsreduzierende Wirkung von Elementen im Netz in dieser Spalte berücksichtigt werden. Die Neuinstallation einer Biogasanlage beispielsweise, die über das gesamte Jahr eine konstante Einspeisung garantiert, würde den Leistungsbedarf im Verteilnetz dementsprechend reduzieren. 
Ist z.B. bekannt, dass ein Betrieb mit 350 MW im Jahr 2017 angeschlossen wird, und im Jahr 2019 ein Betrieb mit 130 MW, dann werden diese Werte je einmal in dem jeweiligen Jahr eingetragen. Eine in einem Jahr angegebene Änderung wirkt auch in den Folgejahren. So kann optional zu den vorangegangen Angaben, welche eher allgemeinen Charakter haben, auch ein bereits vorhandenes detailliertes Wissen als individuelle Anpassung angegeben werden.</t>
  </si>
  <si>
    <r>
      <t>Dieses Tool ermöglicht eine Anwendung der Ergebnisse der "</t>
    </r>
    <r>
      <rPr>
        <i/>
        <sz val="11"/>
        <color theme="1"/>
        <rFont val="Calibri"/>
        <family val="2"/>
        <scheme val="minor"/>
      </rPr>
      <t xml:space="preserve">Studie zum Leistungsbedarf der VNB - Einflussfaktoren auf den zukünftigen Leistungsbedarf der Verteilnetzbetreiber" </t>
    </r>
    <r>
      <rPr>
        <sz val="11"/>
        <color theme="1"/>
        <rFont val="Calibri"/>
        <family val="2"/>
        <scheme val="minor"/>
      </rPr>
      <t>auf verschiedene Netze</t>
    </r>
    <r>
      <rPr>
        <i/>
        <sz val="11"/>
        <color theme="1"/>
        <rFont val="Calibri"/>
        <family val="2"/>
        <scheme val="minor"/>
      </rPr>
      <t xml:space="preserve">. </t>
    </r>
    <r>
      <rPr>
        <sz val="11"/>
        <color theme="1"/>
        <rFont val="Calibri"/>
        <family val="2"/>
        <scheme val="minor"/>
      </rPr>
      <t>Ausgehend von der zukünftigen Entwicklung des Energieverbrauchs auf Basis der Studie "</t>
    </r>
    <r>
      <rPr>
        <i/>
        <sz val="11"/>
        <color theme="1"/>
        <rFont val="Calibri"/>
        <family val="2"/>
        <scheme val="minor"/>
      </rPr>
      <t>Entwicklung der Energiemärkte – Energiereferenzprognose</t>
    </r>
    <r>
      <rPr>
        <sz val="11"/>
        <color theme="1"/>
        <rFont val="Calibri"/>
        <family val="2"/>
        <scheme val="minor"/>
      </rPr>
      <t xml:space="preserve">" der Prognos AG, des EWI und der GWS (im Auftrag des BMWi), wurde der regionale Verlauf der Kapazitäten für Deutschland bestimmt. 
Die angenommenen Vollbenutzungsstunden, die eine Umrechnung der Energieverbräuche in Kapazitäten erlauben, berücksichtigen verschiedene Sanierungsmaßnahmen, die einen maßgeblichen Einfluss auf das Verhältnis zwischen Energie und Leistung haben. 
Es werden die Segmente RLM und SLP getrennt betrachtet und können deshalb auch einzeln berechnet werden. Während für die Sektoren Haushalte(HH), Gewerbe, Handel und Dienstleistungen (GHD) dynamische Vollbenutzungsstunden resultieren, kann ausgewählt werden, ob für den Sektor Industrie konstante Vollbenutzungsstundenoder ein konstanter Leistungsbedarf angenommen wird. Der Sektor Kraftwerke und Erzeugungsanlagen werden aus der Betrachtung herausgenommen, da davon ausgegangen wird, dass sich der Kapazitätsbedarf dieses Sektor nicht ändern wird. 
Im Folgenden werden die verschiedenen Eingabefelder beschrieben. </t>
    </r>
  </si>
  <si>
    <t>Kontaktdaten
v 1.0 vom 05.11.2014</t>
  </si>
  <si>
    <r>
      <rPr>
        <b/>
        <sz val="11"/>
        <color theme="1"/>
        <rFont val="Calibri"/>
        <family val="2"/>
        <scheme val="minor"/>
      </rPr>
      <t>BENUTZUNGSVEREINBARUNG</t>
    </r>
    <r>
      <rPr>
        <sz val="11"/>
        <color theme="1"/>
        <rFont val="Calibri"/>
        <family val="2"/>
        <scheme val="minor"/>
      </rPr>
      <t xml:space="preserve">
- Dieses Tool spiegelt die in der Studie zum Leistungsbedarf der Verteilnetze gewonnenen Erkenntnisse wider und erlaubt es, 
   die dort durchgeführten Berechnungen nachzuvollziehen. Als Erweiterung zu dem Bericht wird es kostenlos zur Verfügung gestellt. 
- Das Tool wird "wie besehen" ohne Garantie zur Verfügung gestellt. Jede Gewährleistung oder Haftung für die Software wird 
   ausgeschlossen. Eine Verwendung der berechneten Werte erfolgt somit auf eigene Verantwortung. 
- Es ist auf eine sorgfältige Plausibilisierung der Eingabedaten und der Ergebnisse zu achten.
- Das Tool wurde auf Basis von Mircosoft Excel ohne Scripte entwickelt. Entsprechend gelten die Nutzungsvereinbarungen 
   von Microsoft Excel als dem ausführenden Programm.
- Eine allgemeine Unterstützung, Support oder Updates sind wegen der kostenlosen Weitergabe nicht möglich. 
   Bei Bedarf bieten wir diese Leistungen als Dienstleistung an.
- Eine Vervielfältigung, entgeltliche oder unentgeltliche Verbreitung oder Veröffentlichung, sowie Änderungen an dem Tool, 
   welche über die übliche Anwendung hinausgehen, sind ohne schriftliche Genehmigung der Forschungsgesellschaft für Energiewirtschaft mbH nicht zulässig.
</t>
    </r>
    <r>
      <rPr>
        <sz val="11"/>
        <color theme="1"/>
        <rFont val="Wingdings"/>
        <charset val="2"/>
      </rPr>
      <t>è</t>
    </r>
    <r>
      <rPr>
        <sz val="11"/>
        <color theme="1"/>
        <rFont val="Calibri"/>
        <family val="2"/>
      </rPr>
      <t xml:space="preserve"> </t>
    </r>
    <r>
      <rPr>
        <b/>
        <sz val="11"/>
        <color theme="1"/>
        <rFont val="Calibri"/>
        <family val="2"/>
        <scheme val="minor"/>
      </rPr>
      <t>Mit der Nutzung des Tool stimmen Sie dieser Vereinbarung zu.</t>
    </r>
  </si>
  <si>
    <t>Über diesen Faktor kann angegeben werden, ob neue Haushaltskunden in Bestandsgebieten hinzukommen. Der Unterschied zum Neubau besteht hier darin, dass die Gebäudestruktur der der bereits angeschlossenen Kunden entspricht. 
In der Referenzprognose ist bei einem Flächenzuwachs der beheizten Flächen in Deutschland von 0,24% pro Jahr ein Anstieg der gasbeheizten Flächen von 0,42% hinterlegt. Dies ergibt sich durch eine hohe Anschlussquote bei Neubauten, sowie dem Umstieg von z.B. Heizöl auf Erdgas.
Da die Referenzprognose den Fokus auf Deutschland legt, konnten für diese regional sehr unterschiedlichen Daten keine detaillierte Aussage gemacht werden. Hier kann der Nutzer die Werte aus seiner Erfahrung eintragen.</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</si>
</sst>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 &quot;€&quot;_-;\-* #,##0.00\ &quot;€&quot;_-;_-* &quot;-&quot;??\ &quot;€&quot;_-;_-@_-"/>
    <numFmt numFmtId="43" formatCode="_-* #,##0.00\ _€_-;\-* #,##0.00\ _€_-;_-* &quot;-&quot;??\ _€_-;_-@_-"/>
    <numFmt numFmtId="164" formatCode="0.0%"/>
    <numFmt numFmtId="165" formatCode="#.##000"/>
    <numFmt numFmtId="166" formatCode="\$#,#00"/>
    <numFmt numFmtId="167" formatCode="#,#00"/>
    <numFmt numFmtId="168" formatCode="General&quot;.&quot;"/>
    <numFmt numFmtId="169" formatCode="_-* #,##0.00\ [$€]_-;\-* #,##0.00\ [$€]_-;_-* &quot;-&quot;??\ [$€]_-;_-@_-"/>
    <numFmt numFmtId="170" formatCode="_-* #,##0\ _€_-;\-* #,##0\ _€_-;_-* &quot;-&quot;??\ _€_-;_-@_-"/>
    <numFmt numFmtId="171" formatCode="00"/>
    <numFmt numFmtId="172" formatCode="#,##0_ ;\-#,##0\ "/>
    <numFmt numFmtId="173" formatCode="#,##0.0"/>
    <numFmt numFmtId="174" formatCode="#,##0.000"/>
    <numFmt numFmtId="175" formatCode="0.000%"/>
    <numFmt numFmtId="176" formatCode="#,##0.00_ ;\-#,##0.00\ "/>
    <numFmt numFmtId="177" formatCode="0.00000000"/>
  </numFmts>
  <fonts count="96">
    <font>
      <sz val="11"/>
      <color theme="1"/>
      <name val="Calibri"/>
      <family val="2"/>
      <scheme val="minor"/>
    </font>
    <font>
      <sz val="11"/>
      <color rgb="FF9C0006"/>
      <name val="Calibri"/>
      <family val="2"/>
      <scheme val="minor"/>
    </font>
    <font>
      <sz val="11"/>
      <color rgb="FF3F3F76"/>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sz val="10"/>
      <color indexed="8"/>
      <name val="Arial"/>
      <family val="2"/>
    </font>
    <font>
      <sz val="11"/>
      <color indexed="8"/>
      <name val="Arial"/>
      <family val="2"/>
    </font>
    <font>
      <sz val="11"/>
      <color indexed="8"/>
      <name val="Calibri"/>
      <family val="2"/>
    </font>
    <font>
      <sz val="10"/>
      <color theme="1"/>
      <name val="Arial"/>
      <family val="2"/>
    </font>
    <font>
      <u/>
      <sz val="11"/>
      <color theme="10"/>
      <name val="Arial"/>
      <family val="2"/>
    </font>
    <font>
      <sz val="10"/>
      <name val="Arial"/>
      <family val="2"/>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11"/>
      <color theme="1"/>
      <name val="Verdana"/>
      <family val="2"/>
    </font>
    <font>
      <b/>
      <sz val="15"/>
      <color theme="3"/>
      <name val="Verdana"/>
      <family val="2"/>
    </font>
    <font>
      <b/>
      <sz val="13"/>
      <color theme="3"/>
      <name val="Verdana"/>
      <family val="2"/>
    </font>
    <font>
      <b/>
      <sz val="11"/>
      <color theme="3"/>
      <name val="Verdana"/>
      <family val="2"/>
    </font>
    <font>
      <sz val="11"/>
      <color rgb="FF006100"/>
      <name val="Verdana"/>
      <family val="2"/>
    </font>
    <font>
      <sz val="11"/>
      <color rgb="FF9C0006"/>
      <name val="Verdana"/>
      <family val="2"/>
    </font>
    <font>
      <sz val="11"/>
      <color rgb="FF9C6500"/>
      <name val="Verdana"/>
      <family val="2"/>
    </font>
    <font>
      <sz val="11"/>
      <color rgb="FF3F3F76"/>
      <name val="Verdana"/>
      <family val="2"/>
    </font>
    <font>
      <b/>
      <sz val="11"/>
      <color rgb="FF3F3F3F"/>
      <name val="Verdana"/>
      <family val="2"/>
    </font>
    <font>
      <b/>
      <sz val="11"/>
      <color rgb="FFFA7D00"/>
      <name val="Verdana"/>
      <family val="2"/>
    </font>
    <font>
      <sz val="11"/>
      <color rgb="FFFA7D00"/>
      <name val="Verdana"/>
      <family val="2"/>
    </font>
    <font>
      <b/>
      <sz val="11"/>
      <color theme="0"/>
      <name val="Verdana"/>
      <family val="2"/>
    </font>
    <font>
      <sz val="11"/>
      <color rgb="FFFF0000"/>
      <name val="Verdana"/>
      <family val="2"/>
    </font>
    <font>
      <i/>
      <sz val="11"/>
      <color rgb="FF7F7F7F"/>
      <name val="Verdana"/>
      <family val="2"/>
    </font>
    <font>
      <b/>
      <sz val="11"/>
      <color theme="1"/>
      <name val="Verdana"/>
      <family val="2"/>
    </font>
    <font>
      <sz val="11"/>
      <color theme="0"/>
      <name val="Verdana"/>
      <family val="2"/>
    </font>
    <font>
      <sz val="11"/>
      <color theme="1"/>
      <name val="Calibri"/>
      <family val="2"/>
    </font>
    <font>
      <sz val="11"/>
      <color theme="1"/>
      <name val="LTUnivers 430 BasicReg"/>
      <family val="2"/>
    </font>
    <font>
      <sz val="10"/>
      <name val="LTUnivers 430 BasicReg"/>
      <family val="2"/>
    </font>
    <font>
      <u/>
      <sz val="10"/>
      <color indexed="12"/>
      <name val="Arial"/>
      <family val="2"/>
    </font>
    <font>
      <sz val="12"/>
      <name val="Arial"/>
      <family val="2"/>
    </font>
    <font>
      <b/>
      <sz val="10"/>
      <name val="MS Sans Serif"/>
      <family val="2"/>
    </font>
    <font>
      <sz val="1"/>
      <color indexed="8"/>
      <name val="Courier"/>
      <family val="3"/>
    </font>
    <font>
      <b/>
      <sz val="1"/>
      <color indexed="8"/>
      <name val="Courier"/>
      <family val="3"/>
    </font>
    <font>
      <sz val="10"/>
      <name val="MS Sans Serif"/>
      <family val="2"/>
    </font>
    <font>
      <sz val="10"/>
      <name val="Courier"/>
      <family val="3"/>
    </font>
    <font>
      <b/>
      <sz val="8"/>
      <name val="MS Sans Serif"/>
      <family val="2"/>
    </font>
    <font>
      <sz val="8"/>
      <name val="Helv"/>
    </font>
    <font>
      <b/>
      <sz val="12"/>
      <name val="Helv"/>
    </font>
    <font>
      <b/>
      <sz val="14"/>
      <name val="Helv"/>
    </font>
    <font>
      <b/>
      <sz val="18"/>
      <name val="Helv"/>
    </font>
    <font>
      <sz val="6"/>
      <name val="Helv"/>
    </font>
    <font>
      <sz val="11"/>
      <color theme="0"/>
      <name val="Calibri"/>
      <family val="2"/>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i/>
      <sz val="11"/>
      <color theme="1"/>
      <name val="Calibri"/>
      <family val="2"/>
      <scheme val="minor"/>
    </font>
    <font>
      <b/>
      <sz val="14"/>
      <color theme="1"/>
      <name val="Calibri"/>
      <family val="2"/>
      <scheme val="minor"/>
    </font>
    <font>
      <sz val="12"/>
      <color theme="1"/>
      <name val="Calibri"/>
      <family val="2"/>
      <scheme val="minor"/>
    </font>
    <font>
      <u/>
      <sz val="12"/>
      <color theme="1"/>
      <name val="Calibri"/>
      <family val="2"/>
      <scheme val="minor"/>
    </font>
    <font>
      <b/>
      <sz val="12"/>
      <color theme="1"/>
      <name val="Calibri"/>
      <family val="2"/>
      <scheme val="minor"/>
    </font>
    <font>
      <sz val="8"/>
      <color theme="1"/>
      <name val="Calibri"/>
      <family val="2"/>
      <scheme val="minor"/>
    </font>
    <font>
      <sz val="8"/>
      <color indexed="81"/>
      <name val="Tahoma"/>
      <family val="2"/>
    </font>
    <font>
      <u/>
      <sz val="11"/>
      <color theme="1"/>
      <name val="Calibri"/>
      <family val="2"/>
      <scheme val="minor"/>
    </font>
    <font>
      <sz val="11"/>
      <color theme="1"/>
      <name val="Wingdings"/>
      <charset val="2"/>
    </font>
  </fonts>
  <fills count="39">
    <fill>
      <patternFill patternType="none"/>
    </fill>
    <fill>
      <patternFill patternType="gray125"/>
    </fill>
    <fill>
      <patternFill patternType="solid">
        <fgColor rgb="FFFFC7CE"/>
      </patternFill>
    </fill>
    <fill>
      <patternFill patternType="solid">
        <fgColor rgb="FFFFCC99"/>
      </patternFill>
    </fill>
    <fill>
      <patternFill patternType="solid">
        <fgColor rgb="FFC6EF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lightGray">
        <bgColor indexed="9"/>
      </patternFill>
    </fill>
    <fill>
      <patternFill patternType="solid">
        <fgColor rgb="FFEB857D"/>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40">
    <border>
      <left/>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7F7F7F"/>
      </left>
      <right style="thin">
        <color indexed="64"/>
      </right>
      <top style="thin">
        <color indexed="64"/>
      </top>
      <bottom style="thin">
        <color rgb="FF7F7F7F"/>
      </bottom>
      <diagonal/>
    </border>
    <border>
      <left style="thin">
        <color indexed="64"/>
      </left>
      <right style="thin">
        <color indexed="64"/>
      </right>
      <top style="thin">
        <color indexed="64"/>
      </top>
      <bottom/>
      <diagonal/>
    </border>
    <border>
      <left style="thin">
        <color rgb="FF7F7F7F"/>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auto="1"/>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rgb="FF7F7F7F"/>
      </left>
      <right style="thin">
        <color indexed="64"/>
      </right>
      <top style="thin">
        <color rgb="FF7F7F7F"/>
      </top>
      <bottom style="thin">
        <color rgb="FF7F7F7F"/>
      </bottom>
      <diagonal/>
    </border>
  </borders>
  <cellStyleXfs count="828">
    <xf numFmtId="0" fontId="0" fillId="0" borderId="0"/>
    <xf numFmtId="0" fontId="1" fillId="2" borderId="0" applyNumberFormat="0" applyBorder="0" applyAlignment="0" applyProtection="0"/>
    <xf numFmtId="0" fontId="2" fillId="3" borderId="2" applyNumberFormat="0" applyAlignment="0" applyProtection="0"/>
    <xf numFmtId="9" fontId="3" fillId="0" borderId="0" applyFont="0" applyFill="0" applyBorder="0" applyAlignment="0" applyProtection="0"/>
    <xf numFmtId="43" fontId="3" fillId="0" borderId="0" applyFont="0" applyFill="0" applyBorder="0" applyAlignment="0" applyProtection="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6" applyNumberFormat="0" applyAlignment="0" applyProtection="0"/>
    <xf numFmtId="0" fontId="11" fillId="6" borderId="2" applyNumberFormat="0" applyAlignment="0" applyProtection="0"/>
    <xf numFmtId="0" fontId="12" fillId="0" borderId="7" applyNumberFormat="0" applyFill="0" applyAlignment="0" applyProtection="0"/>
    <xf numFmtId="0" fontId="13" fillId="7" borderId="8" applyNumberFormat="0" applyAlignment="0" applyProtection="0"/>
    <xf numFmtId="0" fontId="14" fillId="0" borderId="0" applyNumberFormat="0" applyFill="0" applyBorder="0" applyAlignment="0" applyProtection="0"/>
    <xf numFmtId="0" fontId="3" fillId="8" borderId="9" applyNumberFormat="0" applyFon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7" fillId="32" borderId="0" applyNumberFormat="0" applyBorder="0" applyAlignment="0" applyProtection="0"/>
    <xf numFmtId="0" fontId="43" fillId="0" borderId="5" applyNumberFormat="0" applyFill="0" applyAlignment="0" applyProtection="0"/>
    <xf numFmtId="0" fontId="54" fillId="0" borderId="10" applyNumberFormat="0" applyFill="0" applyAlignment="0" applyProtection="0"/>
    <xf numFmtId="0" fontId="50" fillId="0" borderId="7" applyNumberFormat="0" applyFill="0" applyAlignment="0" applyProtection="0"/>
    <xf numFmtId="0" fontId="40" fillId="30" borderId="0" applyNumberFormat="0" applyBorder="0" applyAlignment="0" applyProtection="0"/>
    <xf numFmtId="0" fontId="55" fillId="21" borderId="0" applyNumberFormat="0" applyBorder="0" applyAlignment="0" applyProtection="0"/>
    <xf numFmtId="0" fontId="41" fillId="0" borderId="3" applyNumberFormat="0" applyFill="0" applyAlignment="0" applyProtection="0"/>
    <xf numFmtId="0" fontId="40" fillId="8" borderId="9" applyNumberFormat="0" applyFont="0" applyAlignment="0" applyProtection="0"/>
    <xf numFmtId="0" fontId="40" fillId="22" borderId="0" applyNumberFormat="0" applyBorder="0" applyAlignment="0" applyProtection="0"/>
    <xf numFmtId="0" fontId="42" fillId="0" borderId="4" applyNumberFormat="0" applyFill="0" applyAlignment="0" applyProtection="0"/>
    <xf numFmtId="0" fontId="40" fillId="10" borderId="0" applyNumberFormat="0" applyBorder="0" applyAlignment="0" applyProtection="0"/>
    <xf numFmtId="0" fontId="40" fillId="23" borderId="0" applyNumberFormat="0" applyBorder="0" applyAlignment="0" applyProtection="0"/>
    <xf numFmtId="0" fontId="55" fillId="32" borderId="0" applyNumberFormat="0" applyBorder="0" applyAlignment="0" applyProtection="0"/>
    <xf numFmtId="0" fontId="55" fillId="13" borderId="0" applyNumberFormat="0" applyBorder="0" applyAlignment="0" applyProtection="0"/>
    <xf numFmtId="0" fontId="45" fillId="2" borderId="0" applyNumberFormat="0" applyBorder="0" applyAlignment="0" applyProtection="0"/>
    <xf numFmtId="0" fontId="55" fillId="25" borderId="0" applyNumberFormat="0" applyBorder="0" applyAlignment="0" applyProtection="0"/>
    <xf numFmtId="0" fontId="40" fillId="14" borderId="0" applyNumberFormat="0" applyBorder="0" applyAlignment="0" applyProtection="0"/>
    <xf numFmtId="0" fontId="49" fillId="6" borderId="2" applyNumberFormat="0" applyAlignment="0" applyProtection="0"/>
    <xf numFmtId="0" fontId="55" fillId="16" borderId="0" applyNumberFormat="0" applyBorder="0" applyAlignment="0" applyProtection="0"/>
    <xf numFmtId="0" fontId="18"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21" fillId="8" borderId="9" applyNumberFormat="0" applyFont="0" applyAlignment="0" applyProtection="0"/>
    <xf numFmtId="0" fontId="21" fillId="8" borderId="9" applyNumberFormat="0" applyFont="0" applyAlignment="0" applyProtection="0"/>
    <xf numFmtId="0" fontId="21" fillId="8" borderId="9" applyNumberFormat="0" applyFont="0" applyAlignment="0" applyProtection="0"/>
    <xf numFmtId="0" fontId="21" fillId="8" borderId="9" applyNumberFormat="0" applyFont="0" applyAlignment="0" applyProtection="0"/>
    <xf numFmtId="9" fontId="20" fillId="0" borderId="0" applyFont="0" applyFill="0" applyBorder="0" applyAlignment="0" applyProtection="0"/>
    <xf numFmtId="9" fontId="19" fillId="0" borderId="0" applyFont="0" applyFill="0" applyBorder="0" applyAlignment="0" applyProtection="0"/>
    <xf numFmtId="0" fontId="3" fillId="0" borderId="0"/>
    <xf numFmtId="0" fontId="22" fillId="0" borderId="0"/>
    <xf numFmtId="0" fontId="3" fillId="0" borderId="0"/>
    <xf numFmtId="0" fontId="3" fillId="0" borderId="0"/>
    <xf numFmtId="0" fontId="3" fillId="0" borderId="0"/>
    <xf numFmtId="0" fontId="3" fillId="0" borderId="0"/>
    <xf numFmtId="0" fontId="3" fillId="0" borderId="0"/>
    <xf numFmtId="0" fontId="19" fillId="0" borderId="0"/>
    <xf numFmtId="0" fontId="6" fillId="0" borderId="4" applyNumberFormat="0" applyFill="0" applyAlignment="0" applyProtection="0"/>
    <xf numFmtId="0" fontId="5" fillId="0" borderId="3" applyNumberFormat="0" applyFill="0" applyAlignment="0" applyProtection="0"/>
    <xf numFmtId="0" fontId="23" fillId="0" borderId="0" applyNumberFormat="0" applyFill="0" applyBorder="0" applyAlignment="0" applyProtection="0"/>
    <xf numFmtId="0" fontId="24" fillId="0" borderId="0"/>
    <xf numFmtId="0" fontId="18" fillId="0" borderId="0"/>
    <xf numFmtId="0" fontId="7" fillId="0" borderId="0" applyNumberFormat="0" applyFill="0" applyBorder="0" applyAlignment="0" applyProtection="0"/>
    <xf numFmtId="0" fontId="24" fillId="0" borderId="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2" borderId="0" applyNumberFormat="0" applyBorder="0" applyAlignment="0" applyProtection="0"/>
    <xf numFmtId="0" fontId="30" fillId="5" borderId="0" applyNumberFormat="0" applyBorder="0" applyAlignment="0" applyProtection="0"/>
    <xf numFmtId="0" fontId="31" fillId="3" borderId="2" applyNumberFormat="0" applyAlignment="0" applyProtection="0"/>
    <xf numFmtId="0" fontId="32" fillId="6" borderId="6" applyNumberFormat="0" applyAlignment="0" applyProtection="0"/>
    <xf numFmtId="0" fontId="33" fillId="6" borderId="2" applyNumberFormat="0" applyAlignment="0" applyProtection="0"/>
    <xf numFmtId="0" fontId="34" fillId="0" borderId="7" applyNumberFormat="0" applyFill="0" applyAlignment="0" applyProtection="0"/>
    <xf numFmtId="0" fontId="35" fillId="7" borderId="8" applyNumberFormat="0" applyAlignment="0" applyProtection="0"/>
    <xf numFmtId="0" fontId="36" fillId="0" borderId="0" applyNumberFormat="0" applyFill="0" applyBorder="0" applyAlignment="0" applyProtection="0"/>
    <xf numFmtId="0" fontId="18" fillId="8" borderId="9" applyNumberFormat="0" applyFont="0" applyAlignment="0" applyProtection="0"/>
    <xf numFmtId="0" fontId="37" fillId="0" borderId="0" applyNumberFormat="0" applyFill="0" applyBorder="0" applyAlignment="0" applyProtection="0"/>
    <xf numFmtId="0" fontId="38" fillId="0" borderId="10" applyNumberFormat="0" applyFill="0" applyAlignment="0" applyProtection="0"/>
    <xf numFmtId="0" fontId="39"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39" fillId="32" borderId="0" applyNumberFormat="0" applyBorder="0" applyAlignment="0" applyProtection="0"/>
    <xf numFmtId="0" fontId="40" fillId="0" borderId="0"/>
    <xf numFmtId="0" fontId="55" fillId="28" borderId="0" applyNumberFormat="0" applyBorder="0" applyAlignment="0" applyProtection="0"/>
    <xf numFmtId="0" fontId="52" fillId="0" borderId="0" applyNumberFormat="0" applyFill="0" applyBorder="0" applyAlignment="0" applyProtection="0"/>
    <xf numFmtId="0" fontId="44" fillId="4" borderId="0" applyNumberFormat="0" applyBorder="0" applyAlignment="0" applyProtection="0"/>
    <xf numFmtId="0" fontId="3" fillId="8" borderId="9" applyNumberFormat="0" applyFont="0" applyAlignment="0" applyProtection="0"/>
    <xf numFmtId="0" fontId="43" fillId="0" borderId="0" applyNumberFormat="0" applyFill="0" applyBorder="0" applyAlignment="0" applyProtection="0"/>
    <xf numFmtId="0" fontId="48" fillId="6" borderId="6" applyNumberFormat="0" applyAlignment="0" applyProtection="0"/>
    <xf numFmtId="0" fontId="40" fillId="18" borderId="0" applyNumberFormat="0" applyBorder="0" applyAlignment="0" applyProtection="0"/>
    <xf numFmtId="0" fontId="55" fillId="29" borderId="0" applyNumberFormat="0" applyBorder="0" applyAlignment="0" applyProtection="0"/>
    <xf numFmtId="0" fontId="40" fillId="11" borderId="0" applyNumberFormat="0" applyBorder="0" applyAlignment="0" applyProtection="0"/>
    <xf numFmtId="0" fontId="40" fillId="31" borderId="0" applyNumberFormat="0" applyBorder="0" applyAlignment="0" applyProtection="0"/>
    <xf numFmtId="0" fontId="46" fillId="5" borderId="0" applyNumberFormat="0" applyBorder="0" applyAlignment="0" applyProtection="0"/>
    <xf numFmtId="0" fontId="53" fillId="0" borderId="0" applyNumberFormat="0" applyFill="0" applyBorder="0" applyAlignment="0" applyProtection="0"/>
    <xf numFmtId="0" fontId="55" fillId="9" borderId="0" applyNumberFormat="0" applyBorder="0" applyAlignment="0" applyProtection="0"/>
    <xf numFmtId="0" fontId="55" fillId="12" borderId="0" applyNumberFormat="0" applyBorder="0" applyAlignment="0" applyProtection="0"/>
    <xf numFmtId="0" fontId="40" fillId="15" borderId="0" applyNumberFormat="0" applyBorder="0" applyAlignment="0" applyProtection="0"/>
    <xf numFmtId="0" fontId="55" fillId="20" borderId="0" applyNumberFormat="0" applyBorder="0" applyAlignment="0" applyProtection="0"/>
    <xf numFmtId="0" fontId="55" fillId="24" borderId="0" applyNumberFormat="0" applyBorder="0" applyAlignment="0" applyProtection="0"/>
    <xf numFmtId="0" fontId="40" fillId="27" borderId="0" applyNumberFormat="0" applyBorder="0" applyAlignment="0" applyProtection="0"/>
    <xf numFmtId="0" fontId="40" fillId="19" borderId="0" applyNumberFormat="0" applyBorder="0" applyAlignment="0" applyProtection="0"/>
    <xf numFmtId="0" fontId="47" fillId="3" borderId="2" applyNumberFormat="0" applyAlignment="0" applyProtection="0"/>
    <xf numFmtId="0" fontId="51" fillId="7" borderId="8" applyNumberFormat="0" applyAlignment="0" applyProtection="0"/>
    <xf numFmtId="0" fontId="55" fillId="17" borderId="0" applyNumberFormat="0" applyBorder="0" applyAlignment="0" applyProtection="0"/>
    <xf numFmtId="0" fontId="40" fillId="26" borderId="0" applyNumberFormat="0" applyBorder="0" applyAlignment="0" applyProtection="0"/>
    <xf numFmtId="0" fontId="56" fillId="0" borderId="0"/>
    <xf numFmtId="0" fontId="56" fillId="0" borderId="0"/>
    <xf numFmtId="0" fontId="24" fillId="0" borderId="0"/>
    <xf numFmtId="0" fontId="57" fillId="0" borderId="0"/>
    <xf numFmtId="0" fontId="24" fillId="0" borderId="0"/>
    <xf numFmtId="0" fontId="58" fillId="0" borderId="0"/>
    <xf numFmtId="44" fontId="24" fillId="0" borderId="0" applyFont="0" applyFill="0" applyBorder="0" applyAlignment="0" applyProtection="0"/>
    <xf numFmtId="0" fontId="59" fillId="0" borderId="0" applyNumberFormat="0" applyFill="0" applyBorder="0" applyAlignment="0" applyProtection="0">
      <alignment vertical="top"/>
      <protection locked="0"/>
    </xf>
    <xf numFmtId="0" fontId="24" fillId="0" borderId="0"/>
    <xf numFmtId="43" fontId="57" fillId="0" borderId="0" applyFont="0" applyFill="0" applyBorder="0" applyAlignment="0" applyProtection="0"/>
    <xf numFmtId="0" fontId="56" fillId="0" borderId="0"/>
    <xf numFmtId="0" fontId="24" fillId="0" borderId="0"/>
    <xf numFmtId="168" fontId="61" fillId="0" borderId="0" applyFont="0" applyFill="0" applyBorder="0">
      <alignment horizontal="left"/>
    </xf>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1" fontId="62" fillId="0" borderId="0">
      <protection locked="0"/>
    </xf>
    <xf numFmtId="14" fontId="24" fillId="0" borderId="0"/>
    <xf numFmtId="14" fontId="24" fillId="0" borderId="0"/>
    <xf numFmtId="14" fontId="24" fillId="0" borderId="0"/>
    <xf numFmtId="14" fontId="24" fillId="0" borderId="0"/>
    <xf numFmtId="14" fontId="24" fillId="0" borderId="0"/>
    <xf numFmtId="14" fontId="24" fillId="0" borderId="0"/>
    <xf numFmtId="14" fontId="24" fillId="0" borderId="0"/>
    <xf numFmtId="43"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7" fontId="62" fillId="0" borderId="0">
      <protection locked="0"/>
    </xf>
    <xf numFmtId="0" fontId="67"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165" fontId="62" fillId="0" borderId="0">
      <protection locked="0"/>
    </xf>
    <xf numFmtId="165" fontId="62" fillId="0" borderId="0">
      <protection locked="0"/>
    </xf>
    <xf numFmtId="165" fontId="62" fillId="0" borderId="0">
      <protection locked="0"/>
    </xf>
    <xf numFmtId="165" fontId="62" fillId="0" borderId="0">
      <protection locked="0"/>
    </xf>
    <xf numFmtId="165" fontId="62" fillId="0" borderId="0">
      <protection locked="0"/>
    </xf>
    <xf numFmtId="165" fontId="62" fillId="0" borderId="0">
      <protection locked="0"/>
    </xf>
    <xf numFmtId="1" fontId="63" fillId="0" borderId="0">
      <protection locked="0"/>
    </xf>
    <xf numFmtId="1" fontId="63" fillId="0" borderId="0">
      <protection locked="0"/>
    </xf>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164" fontId="64" fillId="1" borderId="0" applyFont="0" applyFill="0" applyBorder="0" applyAlignment="0"/>
    <xf numFmtId="10" fontId="64" fillId="0" borderId="0" applyFont="0" applyFill="0" applyBorder="0" applyAlignment="0"/>
    <xf numFmtId="3" fontId="60" fillId="33" borderId="0" applyNumberFormat="0" applyFont="0" applyBorder="0"/>
    <xf numFmtId="3" fontId="60" fillId="33" borderId="0" applyNumberFormat="0" applyFont="0" applyBorder="0"/>
    <xf numFmtId="3" fontId="60" fillId="33" borderId="0" applyNumberFormat="0" applyFont="0" applyBorder="0"/>
    <xf numFmtId="3" fontId="60" fillId="33" borderId="0" applyNumberFormat="0" applyFont="0" applyBorder="0"/>
    <xf numFmtId="3" fontId="60" fillId="33" borderId="0" applyNumberFormat="0" applyFont="0" applyBorder="0"/>
    <xf numFmtId="3" fontId="60" fillId="33" borderId="0" applyNumberFormat="0" applyFont="0" applyBorder="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24" fillId="0" borderId="0"/>
    <xf numFmtId="0" fontId="3" fillId="0" borderId="0"/>
    <xf numFmtId="0" fontId="24" fillId="0" borderId="0"/>
    <xf numFmtId="0" fontId="3" fillId="0" borderId="0"/>
    <xf numFmtId="0" fontId="3" fillId="0" borderId="0"/>
    <xf numFmtId="0" fontId="24" fillId="0" borderId="0"/>
    <xf numFmtId="0" fontId="3" fillId="0" borderId="0"/>
    <xf numFmtId="0" fontId="3" fillId="0" borderId="0"/>
    <xf numFmtId="0" fontId="24" fillId="0" borderId="0"/>
    <xf numFmtId="0" fontId="3" fillId="0" borderId="0"/>
    <xf numFmtId="0" fontId="3" fillId="0" borderId="0"/>
    <xf numFmtId="0" fontId="24" fillId="0" borderId="0"/>
    <xf numFmtId="0" fontId="3" fillId="0" borderId="0"/>
    <xf numFmtId="0" fontId="24" fillId="0" borderId="0"/>
    <xf numFmtId="0" fontId="3" fillId="0" borderId="0"/>
    <xf numFmtId="0" fontId="3" fillId="0" borderId="0"/>
    <xf numFmtId="0" fontId="24" fillId="0" borderId="0"/>
    <xf numFmtId="0" fontId="3" fillId="0" borderId="0"/>
    <xf numFmtId="0" fontId="3" fillId="0" borderId="0"/>
    <xf numFmtId="0" fontId="24" fillId="0" borderId="0"/>
    <xf numFmtId="0" fontId="3" fillId="0" borderId="0"/>
    <xf numFmtId="0" fontId="3" fillId="0" borderId="0"/>
    <xf numFmtId="0" fontId="24" fillId="0" borderId="0"/>
    <xf numFmtId="0" fontId="3" fillId="0" borderId="0"/>
    <xf numFmtId="0" fontId="24" fillId="0" borderId="0"/>
    <xf numFmtId="0" fontId="3" fillId="0" borderId="0"/>
    <xf numFmtId="0" fontId="3" fillId="0" borderId="0"/>
    <xf numFmtId="0" fontId="57" fillId="0" borderId="0"/>
    <xf numFmtId="1" fontId="62" fillId="0" borderId="11">
      <protection locked="0"/>
    </xf>
    <xf numFmtId="0" fontId="71" fillId="0" borderId="0" applyNumberFormat="0" applyAlignment="0" applyProtection="0"/>
    <xf numFmtId="0" fontId="65" fillId="0" borderId="0"/>
    <xf numFmtId="0" fontId="66" fillId="0" borderId="0">
      <alignment horizontal="right"/>
    </xf>
    <xf numFmtId="166" fontId="62" fillId="0" borderId="0">
      <protection locked="0"/>
    </xf>
    <xf numFmtId="43" fontId="57" fillId="0" borderId="0" applyFont="0" applyFill="0" applyBorder="0" applyAlignment="0" applyProtection="0"/>
    <xf numFmtId="0" fontId="24" fillId="0" borderId="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169" fontId="24" fillId="0" borderId="0" applyFont="0" applyFill="0" applyBorder="0" applyAlignment="0" applyProtection="0"/>
    <xf numFmtId="43" fontId="24" fillId="0" borderId="0" applyFont="0" applyFill="0" applyBorder="0" applyAlignment="0" applyProtection="0"/>
    <xf numFmtId="14" fontId="24" fillId="0" borderId="0"/>
    <xf numFmtId="0" fontId="24" fillId="0" borderId="0" applyFont="0" applyFill="0" applyBorder="0" applyAlignment="0" applyProtection="0"/>
    <xf numFmtId="0" fontId="24" fillId="0" borderId="0" applyFont="0" applyFill="0" applyBorder="0" applyAlignment="0" applyProtection="0"/>
    <xf numFmtId="9" fontId="24" fillId="0" borderId="0" applyFont="0" applyFill="0" applyBorder="0" applyAlignment="0" applyProtection="0"/>
    <xf numFmtId="0" fontId="56" fillId="10" borderId="0" applyNumberFormat="0" applyBorder="0" applyAlignment="0" applyProtection="0"/>
    <xf numFmtId="0" fontId="56" fillId="11" borderId="0" applyNumberFormat="0" applyBorder="0" applyAlignment="0" applyProtection="0"/>
    <xf numFmtId="0" fontId="72" fillId="12"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72" fillId="16" borderId="0" applyNumberFormat="0" applyBorder="0" applyAlignment="0" applyProtection="0"/>
    <xf numFmtId="0" fontId="56" fillId="19" borderId="0" applyNumberFormat="0" applyBorder="0" applyAlignment="0" applyProtection="0"/>
    <xf numFmtId="0" fontId="72" fillId="20"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72" fillId="24"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72" fillId="28"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72" fillId="32" borderId="0" applyNumberFormat="0" applyBorder="0" applyAlignment="0" applyProtection="0"/>
    <xf numFmtId="0" fontId="16" fillId="0" borderId="10" applyNumberFormat="0" applyFill="0" applyAlignment="0" applyProtection="0"/>
    <xf numFmtId="0" fontId="17" fillId="13" borderId="0" applyNumberFormat="0" applyBorder="0" applyAlignment="0" applyProtection="0"/>
    <xf numFmtId="0" fontId="1" fillId="2" borderId="0" applyNumberFormat="0" applyBorder="0" applyAlignment="0" applyProtection="0"/>
    <xf numFmtId="0" fontId="17" fillId="17" borderId="0" applyNumberFormat="0" applyBorder="0" applyAlignment="0" applyProtection="0"/>
    <xf numFmtId="0" fontId="56" fillId="0" borderId="0"/>
    <xf numFmtId="0" fontId="56" fillId="0" borderId="0"/>
    <xf numFmtId="0" fontId="24" fillId="0" borderId="0"/>
    <xf numFmtId="0" fontId="3" fillId="18" borderId="0" applyNumberFormat="0" applyBorder="0" applyAlignment="0" applyProtection="0"/>
    <xf numFmtId="0" fontId="7" fillId="0" borderId="0" applyNumberFormat="0" applyFill="0" applyBorder="0" applyAlignment="0" applyProtection="0"/>
    <xf numFmtId="0" fontId="3" fillId="0" borderId="0"/>
    <xf numFmtId="9" fontId="24" fillId="0" borderId="0" applyFont="0" applyFill="0" applyBorder="0" applyAlignment="0" applyProtection="0"/>
    <xf numFmtId="9" fontId="24" fillId="0" borderId="0" applyFont="0" applyFill="0" applyBorder="0" applyAlignment="0" applyProtection="0"/>
    <xf numFmtId="0" fontId="13" fillId="7" borderId="8" applyNumberFormat="0" applyAlignment="0" applyProtection="0"/>
    <xf numFmtId="0" fontId="11" fillId="6" borderId="2" applyNumberFormat="0" applyAlignment="0" applyProtection="0"/>
    <xf numFmtId="0" fontId="10" fillId="6" borderId="6" applyNumberFormat="0" applyAlignment="0" applyProtection="0"/>
    <xf numFmtId="0" fontId="17" fillId="21" borderId="0" applyNumberFormat="0" applyBorder="0" applyAlignment="0" applyProtection="0"/>
    <xf numFmtId="0" fontId="12" fillId="0" borderId="7" applyNumberFormat="0" applyFill="0" applyAlignment="0" applyProtection="0"/>
    <xf numFmtId="0" fontId="17" fillId="25" borderId="0" applyNumberFormat="0" applyBorder="0" applyAlignment="0" applyProtection="0"/>
    <xf numFmtId="0" fontId="73" fillId="0" borderId="3" applyNumberFormat="0" applyFill="0" applyAlignment="0" applyProtection="0"/>
    <xf numFmtId="0" fontId="74" fillId="0" borderId="4" applyNumberFormat="0" applyFill="0" applyAlignment="0" applyProtection="0"/>
    <xf numFmtId="0" fontId="75" fillId="0" borderId="5" applyNumberFormat="0" applyFill="0" applyAlignment="0" applyProtection="0"/>
    <xf numFmtId="0" fontId="75" fillId="0" borderId="0" applyNumberFormat="0" applyFill="0" applyBorder="0" applyAlignment="0" applyProtection="0"/>
    <xf numFmtId="0" fontId="76" fillId="4" borderId="0" applyNumberFormat="0" applyBorder="0" applyAlignment="0" applyProtection="0"/>
    <xf numFmtId="0" fontId="77" fillId="2" borderId="0" applyNumberFormat="0" applyBorder="0" applyAlignment="0" applyProtection="0"/>
    <xf numFmtId="0" fontId="78" fillId="5" borderId="0" applyNumberFormat="0" applyBorder="0" applyAlignment="0" applyProtection="0"/>
    <xf numFmtId="0" fontId="79" fillId="3" borderId="2" applyNumberFormat="0" applyAlignment="0" applyProtection="0"/>
    <xf numFmtId="0" fontId="80" fillId="6" borderId="6" applyNumberFormat="0" applyAlignment="0" applyProtection="0"/>
    <xf numFmtId="0" fontId="81" fillId="6" borderId="2" applyNumberFormat="0" applyAlignment="0" applyProtection="0"/>
    <xf numFmtId="0" fontId="82" fillId="0" borderId="7" applyNumberFormat="0" applyFill="0" applyAlignment="0" applyProtection="0"/>
    <xf numFmtId="0" fontId="83" fillId="7" borderId="8" applyNumberFormat="0" applyAlignment="0" applyProtection="0"/>
    <xf numFmtId="0" fontId="84" fillId="0" borderId="0" applyNumberFormat="0" applyFill="0" applyBorder="0" applyAlignment="0" applyProtection="0"/>
    <xf numFmtId="0" fontId="56" fillId="8" borderId="9" applyNumberFormat="0" applyFont="0" applyAlignment="0" applyProtection="0"/>
    <xf numFmtId="0" fontId="85" fillId="0" borderId="0" applyNumberFormat="0" applyFill="0" applyBorder="0" applyAlignment="0" applyProtection="0"/>
    <xf numFmtId="0" fontId="86" fillId="0" borderId="10" applyNumberFormat="0" applyFill="0" applyAlignment="0" applyProtection="0"/>
    <xf numFmtId="0" fontId="72" fillId="9" borderId="0" applyNumberFormat="0" applyBorder="0" applyAlignment="0" applyProtection="0"/>
    <xf numFmtId="0" fontId="72" fillId="13" borderId="0" applyNumberFormat="0" applyBorder="0" applyAlignment="0" applyProtection="0"/>
    <xf numFmtId="0" fontId="72" fillId="17" borderId="0" applyNumberFormat="0" applyBorder="0" applyAlignment="0" applyProtection="0"/>
    <xf numFmtId="0" fontId="56" fillId="18" borderId="0" applyNumberFormat="0" applyBorder="0" applyAlignment="0" applyProtection="0"/>
    <xf numFmtId="0" fontId="72" fillId="21" borderId="0" applyNumberFormat="0" applyBorder="0" applyAlignment="0" applyProtection="0"/>
    <xf numFmtId="0" fontId="72" fillId="25" borderId="0" applyNumberFormat="0" applyBorder="0" applyAlignment="0" applyProtection="0"/>
    <xf numFmtId="0" fontId="72" fillId="29"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9" applyNumberFormat="0" applyFont="0" applyAlignment="0" applyProtection="0"/>
    <xf numFmtId="0" fontId="56" fillId="18"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 fillId="0" borderId="3" applyNumberFormat="0" applyFill="0" applyAlignment="0" applyProtection="0"/>
    <xf numFmtId="0" fontId="8" fillId="4" borderId="0" applyNumberFormat="0" applyBorder="0" applyAlignment="0" applyProtection="0"/>
    <xf numFmtId="0" fontId="17" fillId="9" borderId="0" applyNumberFormat="0" applyBorder="0" applyAlignment="0" applyProtection="0"/>
    <xf numFmtId="0" fontId="17" fillId="29" borderId="0" applyNumberFormat="0" applyBorder="0" applyAlignment="0" applyProtection="0"/>
    <xf numFmtId="0" fontId="7" fillId="0" borderId="5" applyNumberFormat="0" applyFill="0" applyAlignment="0" applyProtection="0"/>
    <xf numFmtId="0" fontId="9" fillId="5" borderId="0" applyNumberFormat="0" applyBorder="0" applyAlignment="0" applyProtection="0"/>
    <xf numFmtId="0" fontId="6" fillId="0" borderId="4"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2" fillId="3" borderId="2" applyNumberFormat="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3" fillId="0" borderId="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1" fillId="2" borderId="0" applyNumberFormat="0" applyBorder="0" applyAlignment="0" applyProtection="0"/>
    <xf numFmtId="0" fontId="9" fillId="5" borderId="0" applyNumberFormat="0" applyBorder="0" applyAlignment="0" applyProtection="0"/>
    <xf numFmtId="0" fontId="2" fillId="3" borderId="2" applyNumberFormat="0" applyAlignment="0" applyProtection="0"/>
    <xf numFmtId="0" fontId="10" fillId="6" borderId="6" applyNumberFormat="0" applyAlignment="0" applyProtection="0"/>
    <xf numFmtId="0" fontId="11" fillId="6" borderId="2" applyNumberFormat="0" applyAlignment="0" applyProtection="0"/>
    <xf numFmtId="0" fontId="12" fillId="0" borderId="7" applyNumberFormat="0" applyFill="0" applyAlignment="0" applyProtection="0"/>
    <xf numFmtId="0" fontId="13" fillId="7" borderId="8"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3" fillId="18"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56" fillId="0" borderId="0"/>
    <xf numFmtId="0" fontId="56" fillId="0" borderId="0"/>
    <xf numFmtId="0" fontId="56" fillId="0" borderId="0"/>
    <xf numFmtId="0" fontId="56" fillId="0" borderId="0"/>
    <xf numFmtId="0" fontId="56" fillId="0" borderId="0"/>
    <xf numFmtId="0" fontId="56" fillId="8" borderId="9" applyNumberFormat="0" applyFont="0" applyAlignment="0" applyProtection="0"/>
    <xf numFmtId="0" fontId="56" fillId="18"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9" applyNumberFormat="0" applyFont="0" applyAlignment="0" applyProtection="0"/>
    <xf numFmtId="0" fontId="56" fillId="18"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24" fillId="0" borderId="0"/>
    <xf numFmtId="0" fontId="56" fillId="0" borderId="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3" fillId="0" borderId="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1" fillId="2" borderId="0" applyNumberFormat="0" applyBorder="0" applyAlignment="0" applyProtection="0"/>
    <xf numFmtId="0" fontId="9" fillId="5" borderId="0" applyNumberFormat="0" applyBorder="0" applyAlignment="0" applyProtection="0"/>
    <xf numFmtId="0" fontId="2" fillId="3" borderId="2" applyNumberFormat="0" applyAlignment="0" applyProtection="0"/>
    <xf numFmtId="0" fontId="10" fillId="6" borderId="6" applyNumberFormat="0" applyAlignment="0" applyProtection="0"/>
    <xf numFmtId="0" fontId="11" fillId="6" borderId="2" applyNumberFormat="0" applyAlignment="0" applyProtection="0"/>
    <xf numFmtId="0" fontId="12" fillId="0" borderId="7" applyNumberFormat="0" applyFill="0" applyAlignment="0" applyProtection="0"/>
    <xf numFmtId="0" fontId="13" fillId="7" borderId="8"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3" fillId="18"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56" fillId="0" borderId="0"/>
    <xf numFmtId="0" fontId="56" fillId="0" borderId="0"/>
    <xf numFmtId="0" fontId="56" fillId="0" borderId="0"/>
    <xf numFmtId="0" fontId="56" fillId="0" borderId="0"/>
    <xf numFmtId="0" fontId="56" fillId="0" borderId="0"/>
    <xf numFmtId="0" fontId="56" fillId="8" borderId="9" applyNumberFormat="0" applyFont="0" applyAlignment="0" applyProtection="0"/>
    <xf numFmtId="0" fontId="56" fillId="18"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9" applyNumberFormat="0" applyFont="0" applyAlignment="0" applyProtection="0"/>
    <xf numFmtId="0" fontId="56" fillId="18"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0" borderId="0"/>
    <xf numFmtId="0" fontId="56" fillId="0" borderId="0"/>
    <xf numFmtId="0" fontId="56" fillId="0" borderId="0"/>
    <xf numFmtId="0" fontId="56" fillId="0" borderId="0"/>
    <xf numFmtId="0" fontId="56" fillId="8" borderId="9" applyNumberFormat="0" applyFont="0" applyAlignment="0" applyProtection="0"/>
    <xf numFmtId="0" fontId="56" fillId="18"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9" applyNumberFormat="0" applyFont="0" applyAlignment="0" applyProtection="0"/>
    <xf numFmtId="0" fontId="56" fillId="18"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0" borderId="0"/>
    <xf numFmtId="0" fontId="56" fillId="8" borderId="9" applyNumberFormat="0" applyFont="0" applyAlignment="0" applyProtection="0"/>
    <xf numFmtId="0" fontId="56" fillId="10" borderId="0" applyNumberFormat="0" applyBorder="0" applyAlignment="0" applyProtection="0"/>
    <xf numFmtId="0" fontId="56" fillId="11"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18" fillId="0" borderId="0">
      <alignment vertical="top"/>
    </xf>
    <xf numFmtId="9" fontId="19" fillId="0" borderId="0" applyFont="0" applyFill="0" applyBorder="0" applyAlignment="0" applyProtection="0"/>
    <xf numFmtId="0" fontId="3" fillId="0" borderId="0"/>
  </cellStyleXfs>
  <cellXfs count="173">
    <xf numFmtId="0" fontId="0" fillId="0" borderId="0" xfId="0"/>
    <xf numFmtId="0" fontId="0" fillId="0" borderId="1" xfId="0" applyBorder="1"/>
    <xf numFmtId="0" fontId="0" fillId="0" borderId="0" xfId="0"/>
    <xf numFmtId="0" fontId="2" fillId="3" borderId="2" xfId="2"/>
    <xf numFmtId="0" fontId="0" fillId="0" borderId="0" xfId="0" quotePrefix="1"/>
    <xf numFmtId="0" fontId="11" fillId="6" borderId="2" xfId="13"/>
    <xf numFmtId="0" fontId="0" fillId="0" borderId="0" xfId="0"/>
    <xf numFmtId="0" fontId="0" fillId="0" borderId="0" xfId="0" applyBorder="1"/>
    <xf numFmtId="170" fontId="0" fillId="0" borderId="0" xfId="4" applyNumberFormat="1" applyFont="1"/>
    <xf numFmtId="0" fontId="0" fillId="0" borderId="0" xfId="0" applyFill="1" applyBorder="1"/>
    <xf numFmtId="0" fontId="0" fillId="0" borderId="0" xfId="0"/>
    <xf numFmtId="0" fontId="44" fillId="4" borderId="12" xfId="139" applyBorder="1"/>
    <xf numFmtId="0" fontId="16" fillId="0" borderId="12" xfId="0" applyFont="1"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2" fillId="3" borderId="12" xfId="3" applyFont="1" applyFill="1" applyBorder="1"/>
    <xf numFmtId="0" fontId="11" fillId="6" borderId="12" xfId="13" applyBorder="1"/>
    <xf numFmtId="0" fontId="9" fillId="5" borderId="12" xfId="11" applyBorder="1"/>
    <xf numFmtId="171" fontId="0" fillId="0" borderId="0" xfId="0" applyNumberFormat="1"/>
    <xf numFmtId="171" fontId="2" fillId="3" borderId="12" xfId="2" applyNumberFormat="1" applyBorder="1"/>
    <xf numFmtId="43" fontId="11" fillId="6" borderId="12" xfId="4" applyFont="1" applyFill="1" applyBorder="1"/>
    <xf numFmtId="43" fontId="0" fillId="0" borderId="0" xfId="0" applyNumberFormat="1"/>
    <xf numFmtId="43" fontId="11" fillId="6" borderId="2" xfId="13" applyNumberFormat="1"/>
    <xf numFmtId="0" fontId="16" fillId="0" borderId="20" xfId="0" applyFont="1" applyBorder="1"/>
    <xf numFmtId="0" fontId="0" fillId="0" borderId="20" xfId="0" applyBorder="1"/>
    <xf numFmtId="0" fontId="0" fillId="0" borderId="22" xfId="0" applyBorder="1"/>
    <xf numFmtId="0" fontId="0" fillId="0" borderId="0" xfId="0"/>
    <xf numFmtId="4" fontId="0" fillId="0" borderId="0" xfId="0" applyNumberFormat="1"/>
    <xf numFmtId="0" fontId="0" fillId="0" borderId="0" xfId="0"/>
    <xf numFmtId="173" fontId="11" fillId="6" borderId="2" xfId="13" applyNumberFormat="1"/>
    <xf numFmtId="0" fontId="0" fillId="0" borderId="0" xfId="0"/>
    <xf numFmtId="0" fontId="0" fillId="0" borderId="0" xfId="0"/>
    <xf numFmtId="0" fontId="0" fillId="0" borderId="0" xfId="0"/>
    <xf numFmtId="0" fontId="0" fillId="0" borderId="0" xfId="0"/>
    <xf numFmtId="173" fontId="9" fillId="5" borderId="0" xfId="11" applyNumberFormat="1"/>
    <xf numFmtId="174" fontId="9" fillId="5" borderId="0" xfId="11" applyNumberFormat="1"/>
    <xf numFmtId="175" fontId="9" fillId="5" borderId="0" xfId="11" applyNumberFormat="1"/>
    <xf numFmtId="0" fontId="9" fillId="5" borderId="0" xfId="11"/>
    <xf numFmtId="43" fontId="11" fillId="6" borderId="12" xfId="4" applyNumberFormat="1" applyFont="1" applyFill="1" applyBorder="1"/>
    <xf numFmtId="0" fontId="0" fillId="0" borderId="0" xfId="0"/>
    <xf numFmtId="0" fontId="0" fillId="0" borderId="0" xfId="0"/>
    <xf numFmtId="0" fontId="0" fillId="0" borderId="0" xfId="0"/>
    <xf numFmtId="0" fontId="0" fillId="0" borderId="0" xfId="0"/>
    <xf numFmtId="176" fontId="9" fillId="5" borderId="12" xfId="4" applyNumberFormat="1" applyFont="1" applyFill="1" applyBorder="1"/>
    <xf numFmtId="177" fontId="9" fillId="5" borderId="2" xfId="11" applyNumberFormat="1" applyBorder="1"/>
    <xf numFmtId="0" fontId="0" fillId="37" borderId="0" xfId="0" applyFill="1" applyBorder="1"/>
    <xf numFmtId="0" fontId="0" fillId="37" borderId="0" xfId="0" applyFill="1"/>
    <xf numFmtId="0" fontId="90" fillId="36" borderId="0" xfId="0" applyFont="1" applyFill="1" applyBorder="1" applyAlignment="1">
      <alignment horizontal="left" vertical="top"/>
    </xf>
    <xf numFmtId="0" fontId="0" fillId="0" borderId="0" xfId="0"/>
    <xf numFmtId="0" fontId="0" fillId="0" borderId="0" xfId="0" applyBorder="1"/>
    <xf numFmtId="9" fontId="2" fillId="3" borderId="12" xfId="3" applyFont="1" applyFill="1" applyBorder="1"/>
    <xf numFmtId="0" fontId="9" fillId="5" borderId="12" xfId="11" applyBorder="1"/>
    <xf numFmtId="0" fontId="90" fillId="36" borderId="12" xfId="0" applyFont="1" applyFill="1" applyBorder="1" applyAlignment="1">
      <alignment horizontal="left" vertical="top"/>
    </xf>
    <xf numFmtId="0" fontId="89" fillId="37" borderId="12" xfId="0" applyFont="1" applyFill="1" applyBorder="1" applyAlignment="1">
      <alignment horizontal="center"/>
    </xf>
    <xf numFmtId="0" fontId="11" fillId="6" borderId="24" xfId="13" applyBorder="1"/>
    <xf numFmtId="0" fontId="2" fillId="3" borderId="12" xfId="2" applyBorder="1"/>
    <xf numFmtId="0" fontId="0" fillId="37" borderId="25" xfId="0" applyFill="1" applyBorder="1"/>
    <xf numFmtId="0" fontId="0" fillId="0" borderId="26" xfId="0" applyBorder="1"/>
    <xf numFmtId="0" fontId="0" fillId="37" borderId="27" xfId="0" applyFill="1" applyBorder="1"/>
    <xf numFmtId="0" fontId="0" fillId="37" borderId="28" xfId="0" applyFill="1" applyBorder="1"/>
    <xf numFmtId="0" fontId="0" fillId="37" borderId="29" xfId="0" applyFill="1" applyBorder="1"/>
    <xf numFmtId="0" fontId="89" fillId="37" borderId="31" xfId="0" applyFont="1" applyFill="1" applyBorder="1" applyAlignment="1">
      <alignment horizontal="center"/>
    </xf>
    <xf numFmtId="0" fontId="0" fillId="35" borderId="31" xfId="0" applyFill="1" applyBorder="1" applyAlignment="1">
      <alignment wrapText="1"/>
    </xf>
    <xf numFmtId="0" fontId="0" fillId="37" borderId="32" xfId="0" applyFill="1" applyBorder="1"/>
    <xf numFmtId="0" fontId="0" fillId="35" borderId="34" xfId="0" applyFill="1" applyBorder="1" applyAlignment="1">
      <alignment wrapText="1"/>
    </xf>
    <xf numFmtId="171" fontId="2" fillId="3" borderId="0" xfId="2" applyNumberFormat="1" applyBorder="1"/>
    <xf numFmtId="0" fontId="2" fillId="3" borderId="12" xfId="4" applyNumberFormat="1" applyFont="1" applyFill="1" applyBorder="1"/>
    <xf numFmtId="0" fontId="2" fillId="3" borderId="12" xfId="3" applyNumberFormat="1" applyFont="1" applyFill="1" applyBorder="1"/>
    <xf numFmtId="0" fontId="9" fillId="5" borderId="12" xfId="11" applyFont="1" applyBorder="1"/>
    <xf numFmtId="0" fontId="8" fillId="4" borderId="12" xfId="139" applyFont="1" applyBorder="1"/>
    <xf numFmtId="0" fontId="12" fillId="6" borderId="12" xfId="13" applyFont="1" applyBorder="1"/>
    <xf numFmtId="0" fontId="0" fillId="37" borderId="0" xfId="0" applyFont="1" applyFill="1" applyProtection="1">
      <protection locked="0"/>
    </xf>
    <xf numFmtId="0" fontId="0" fillId="37" borderId="0" xfId="0" applyFill="1" applyProtection="1">
      <protection locked="0"/>
    </xf>
    <xf numFmtId="0" fontId="0" fillId="37" borderId="28" xfId="0" applyFill="1" applyBorder="1" applyProtection="1">
      <protection locked="0"/>
    </xf>
    <xf numFmtId="0" fontId="0" fillId="37" borderId="0" xfId="0" applyFill="1" applyBorder="1" applyProtection="1">
      <protection locked="0"/>
    </xf>
    <xf numFmtId="0" fontId="0" fillId="37" borderId="29" xfId="0" applyFill="1" applyBorder="1" applyProtection="1">
      <protection locked="0"/>
    </xf>
    <xf numFmtId="0" fontId="0" fillId="37" borderId="0" xfId="0" applyFont="1" applyFill="1" applyBorder="1" applyProtection="1">
      <protection locked="0"/>
    </xf>
    <xf numFmtId="0" fontId="0" fillId="37" borderId="32" xfId="0" applyFill="1" applyBorder="1" applyProtection="1">
      <protection locked="0"/>
    </xf>
    <xf numFmtId="0" fontId="0" fillId="37" borderId="35" xfId="0" applyFill="1" applyBorder="1" applyProtection="1">
      <protection locked="0"/>
    </xf>
    <xf numFmtId="0" fontId="0" fillId="37" borderId="36" xfId="0" applyFill="1" applyBorder="1" applyProtection="1">
      <protection locked="0"/>
    </xf>
    <xf numFmtId="9" fontId="0" fillId="37" borderId="0" xfId="3" applyFont="1" applyFill="1" applyBorder="1" applyProtection="1">
      <protection locked="0"/>
    </xf>
    <xf numFmtId="170" fontId="2" fillId="3" borderId="12" xfId="2" applyNumberFormat="1" applyFont="1" applyBorder="1" applyAlignment="1" applyProtection="1">
      <alignment horizontal="right" indent="1"/>
      <protection locked="0"/>
    </xf>
    <xf numFmtId="173" fontId="2" fillId="3" borderId="12" xfId="3" applyNumberFormat="1" applyFont="1" applyFill="1" applyBorder="1" applyAlignment="1" applyProtection="1">
      <alignment horizontal="right" indent="2"/>
      <protection locked="0"/>
    </xf>
    <xf numFmtId="0" fontId="0" fillId="37" borderId="28" xfId="0" applyFont="1" applyFill="1" applyBorder="1" applyProtection="1">
      <protection locked="0"/>
    </xf>
    <xf numFmtId="171" fontId="2" fillId="3" borderId="12" xfId="2" applyNumberFormat="1" applyFont="1" applyBorder="1" applyAlignment="1" applyProtection="1">
      <alignment horizontal="right" indent="1"/>
      <protection locked="0"/>
    </xf>
    <xf numFmtId="9" fontId="2" fillId="3" borderId="12" xfId="3" applyFont="1" applyFill="1" applyBorder="1" applyAlignment="1" applyProtection="1">
      <alignment horizontal="right" indent="1"/>
      <protection locked="0"/>
    </xf>
    <xf numFmtId="43" fontId="2" fillId="3" borderId="12" xfId="4" applyFont="1" applyFill="1" applyBorder="1" applyAlignment="1" applyProtection="1">
      <alignment horizontal="right" indent="1"/>
      <protection locked="0"/>
    </xf>
    <xf numFmtId="172" fontId="2" fillId="3" borderId="12" xfId="4" applyNumberFormat="1" applyFont="1" applyFill="1" applyBorder="1" applyAlignment="1" applyProtection="1">
      <alignment horizontal="right" indent="1"/>
      <protection locked="0"/>
    </xf>
    <xf numFmtId="10" fontId="2" fillId="3" borderId="2" xfId="3" applyNumberFormat="1" applyFont="1" applyFill="1" applyBorder="1" applyProtection="1">
      <protection locked="0"/>
    </xf>
    <xf numFmtId="9" fontId="0" fillId="37" borderId="35" xfId="3" applyFont="1" applyFill="1" applyBorder="1" applyProtection="1">
      <protection locked="0"/>
    </xf>
    <xf numFmtId="9" fontId="17" fillId="37" borderId="0" xfId="3" applyFont="1" applyFill="1" applyProtection="1">
      <protection locked="0"/>
    </xf>
    <xf numFmtId="10" fontId="0" fillId="34" borderId="12" xfId="3" applyNumberFormat="1" applyFont="1" applyFill="1" applyBorder="1" applyProtection="1"/>
    <xf numFmtId="9" fontId="12" fillId="6" borderId="12" xfId="3" applyFont="1" applyFill="1" applyBorder="1" applyAlignment="1" applyProtection="1">
      <alignment horizontal="right" indent="1"/>
    </xf>
    <xf numFmtId="0" fontId="0" fillId="37" borderId="25" xfId="0" applyFill="1" applyBorder="1" applyProtection="1"/>
    <xf numFmtId="0" fontId="91" fillId="37" borderId="37" xfId="0" applyFont="1" applyFill="1" applyBorder="1" applyProtection="1"/>
    <xf numFmtId="0" fontId="89" fillId="37" borderId="37" xfId="0" applyFont="1" applyFill="1" applyBorder="1" applyProtection="1"/>
    <xf numFmtId="0" fontId="0" fillId="37" borderId="27" xfId="0" applyFill="1" applyBorder="1" applyProtection="1"/>
    <xf numFmtId="0" fontId="0" fillId="37" borderId="28" xfId="0" applyFill="1" applyBorder="1" applyProtection="1"/>
    <xf numFmtId="0" fontId="0" fillId="37" borderId="0" xfId="0" applyFill="1" applyBorder="1" applyProtection="1"/>
    <xf numFmtId="0" fontId="0" fillId="37" borderId="29" xfId="0" applyFill="1" applyBorder="1" applyProtection="1"/>
    <xf numFmtId="0" fontId="0" fillId="37" borderId="1" xfId="0" applyFont="1" applyFill="1" applyBorder="1" applyAlignment="1" applyProtection="1">
      <alignment horizontal="center"/>
    </xf>
    <xf numFmtId="0" fontId="0" fillId="37" borderId="0" xfId="0" applyFont="1" applyFill="1" applyBorder="1" applyProtection="1"/>
    <xf numFmtId="170" fontId="8" fillId="4" borderId="12" xfId="4" applyNumberFormat="1" applyFont="1" applyFill="1" applyBorder="1" applyAlignment="1" applyProtection="1">
      <alignment horizontal="center"/>
    </xf>
    <xf numFmtId="0" fontId="0" fillId="37" borderId="28" xfId="0" applyFont="1" applyFill="1" applyBorder="1" applyProtection="1"/>
    <xf numFmtId="0" fontId="0" fillId="37" borderId="32" xfId="0" applyFont="1" applyFill="1" applyBorder="1" applyProtection="1"/>
    <xf numFmtId="0" fontId="0" fillId="37" borderId="35" xfId="0" applyFill="1" applyBorder="1" applyProtection="1"/>
    <xf numFmtId="0" fontId="0" fillId="37" borderId="35" xfId="0" applyFont="1" applyFill="1" applyBorder="1" applyProtection="1"/>
    <xf numFmtId="0" fontId="0" fillId="37" borderId="36" xfId="0" applyFill="1" applyBorder="1" applyProtection="1"/>
    <xf numFmtId="0" fontId="0" fillId="37" borderId="0" xfId="0" applyFont="1" applyFill="1" applyProtection="1"/>
    <xf numFmtId="0" fontId="0" fillId="37" borderId="0" xfId="0" applyFill="1" applyProtection="1"/>
    <xf numFmtId="0" fontId="0" fillId="37" borderId="25" xfId="0" applyFont="1" applyFill="1" applyBorder="1" applyProtection="1"/>
    <xf numFmtId="0" fontId="0" fillId="37" borderId="0" xfId="0" applyFont="1" applyFill="1" applyBorder="1" applyAlignment="1" applyProtection="1">
      <alignment horizontal="center"/>
    </xf>
    <xf numFmtId="9" fontId="8" fillId="4" borderId="12" xfId="3" applyNumberFormat="1" applyFont="1" applyFill="1" applyBorder="1" applyAlignment="1" applyProtection="1">
      <alignment horizontal="center"/>
    </xf>
    <xf numFmtId="10" fontId="8" fillId="4" borderId="12" xfId="3" applyNumberFormat="1" applyFont="1" applyFill="1" applyBorder="1" applyAlignment="1" applyProtection="1">
      <alignment horizontal="center"/>
    </xf>
    <xf numFmtId="9" fontId="0" fillId="37" borderId="0" xfId="3" applyFont="1" applyFill="1" applyBorder="1" applyProtection="1"/>
    <xf numFmtId="0" fontId="0" fillId="37" borderId="0" xfId="0" applyFill="1" applyBorder="1" applyAlignment="1" applyProtection="1">
      <alignment horizontal="right" indent="2"/>
    </xf>
    <xf numFmtId="0" fontId="0" fillId="37" borderId="0" xfId="0" applyFill="1" applyBorder="1" applyAlignment="1" applyProtection="1">
      <alignment horizontal="center"/>
    </xf>
    <xf numFmtId="0" fontId="0" fillId="37" borderId="16" xfId="0" applyFill="1" applyBorder="1" applyAlignment="1" applyProtection="1">
      <alignment horizontal="right" indent="2"/>
    </xf>
    <xf numFmtId="173" fontId="12" fillId="6" borderId="12" xfId="13" applyNumberFormat="1" applyFont="1" applyBorder="1" applyAlignment="1" applyProtection="1">
      <alignment horizontal="right" indent="2"/>
    </xf>
    <xf numFmtId="173" fontId="8" fillId="4" borderId="12" xfId="139" applyNumberFormat="1" applyFont="1" applyBorder="1" applyAlignment="1" applyProtection="1">
      <alignment horizontal="right" indent="2"/>
    </xf>
    <xf numFmtId="0" fontId="92" fillId="37" borderId="29" xfId="0" applyFont="1" applyFill="1" applyBorder="1" applyAlignment="1">
      <alignment horizontal="right"/>
    </xf>
    <xf numFmtId="10" fontId="0" fillId="34" borderId="38" xfId="3" applyNumberFormat="1" applyFont="1" applyFill="1" applyBorder="1" applyProtection="1"/>
    <xf numFmtId="0" fontId="16" fillId="0" borderId="0" xfId="0" applyFont="1"/>
    <xf numFmtId="43" fontId="11" fillId="6" borderId="12" xfId="13" applyNumberFormat="1" applyBorder="1"/>
    <xf numFmtId="0" fontId="0" fillId="0" borderId="0" xfId="0" applyFont="1"/>
    <xf numFmtId="171" fontId="2" fillId="3" borderId="12" xfId="2" applyNumberFormat="1" applyFont="1" applyBorder="1" applyAlignment="1" applyProtection="1">
      <alignment horizontal="right" indent="1"/>
      <protection hidden="1"/>
    </xf>
    <xf numFmtId="0" fontId="0" fillId="0" borderId="25" xfId="0" applyBorder="1"/>
    <xf numFmtId="0" fontId="0" fillId="0" borderId="27" xfId="0" applyBorder="1"/>
    <xf numFmtId="0" fontId="0" fillId="0" borderId="32" xfId="0" applyBorder="1"/>
    <xf numFmtId="9" fontId="2" fillId="3" borderId="33" xfId="3" applyFont="1" applyFill="1" applyBorder="1"/>
    <xf numFmtId="0" fontId="0" fillId="0" borderId="36" xfId="0" applyBorder="1"/>
    <xf numFmtId="10" fontId="2" fillId="3" borderId="39" xfId="2" applyNumberFormat="1" applyBorder="1"/>
    <xf numFmtId="0" fontId="2" fillId="3" borderId="2" xfId="2" applyBorder="1"/>
    <xf numFmtId="0" fontId="2" fillId="3" borderId="39" xfId="2" applyBorder="1"/>
    <xf numFmtId="10" fontId="0" fillId="34" borderId="12" xfId="3" applyNumberFormat="1" applyFont="1" applyFill="1" applyBorder="1"/>
    <xf numFmtId="0" fontId="0" fillId="0" borderId="12" xfId="0" applyBorder="1" applyAlignment="1">
      <alignment vertical="center"/>
    </xf>
    <xf numFmtId="0" fontId="0" fillId="0" borderId="12" xfId="0" applyBorder="1" applyAlignment="1">
      <alignment vertical="center" wrapText="1"/>
    </xf>
    <xf numFmtId="0" fontId="0" fillId="0" borderId="29" xfId="0" applyBorder="1"/>
    <xf numFmtId="0" fontId="0" fillId="0" borderId="33" xfId="0" applyBorder="1" applyAlignment="1">
      <alignment vertical="center"/>
    </xf>
    <xf numFmtId="173" fontId="11" fillId="6" borderId="21" xfId="13" applyNumberFormat="1" applyBorder="1"/>
    <xf numFmtId="173" fontId="11" fillId="6" borderId="19" xfId="13" applyNumberFormat="1" applyBorder="1"/>
    <xf numFmtId="0" fontId="0" fillId="37" borderId="26" xfId="0" applyFill="1" applyBorder="1"/>
    <xf numFmtId="0" fontId="16" fillId="37" borderId="37" xfId="0" applyFont="1" applyFill="1" applyBorder="1" applyProtection="1"/>
    <xf numFmtId="9" fontId="2" fillId="3" borderId="12" xfId="3" applyFont="1" applyFill="1" applyBorder="1" applyProtection="1"/>
    <xf numFmtId="0" fontId="12" fillId="6" borderId="12" xfId="13" applyFont="1" applyBorder="1" applyProtection="1"/>
    <xf numFmtId="0" fontId="9" fillId="5" borderId="12" xfId="11" applyFont="1" applyBorder="1" applyProtection="1"/>
    <xf numFmtId="0" fontId="8" fillId="4" borderId="12" xfId="139" applyFont="1" applyBorder="1" applyProtection="1"/>
    <xf numFmtId="0" fontId="0" fillId="37" borderId="32" xfId="0" applyFill="1" applyBorder="1" applyProtection="1"/>
    <xf numFmtId="0" fontId="0" fillId="37" borderId="27" xfId="0" applyFont="1" applyFill="1" applyBorder="1" applyProtection="1"/>
    <xf numFmtId="0" fontId="0" fillId="37" borderId="29" xfId="0" applyFont="1" applyFill="1" applyBorder="1" applyProtection="1"/>
    <xf numFmtId="0" fontId="0" fillId="37" borderId="0" xfId="0" applyFont="1" applyFill="1" applyBorder="1" applyAlignment="1" applyProtection="1">
      <alignment horizontal="right" indent="1"/>
    </xf>
    <xf numFmtId="0" fontId="0" fillId="0" borderId="0" xfId="0" applyProtection="1"/>
    <xf numFmtId="0" fontId="0" fillId="37" borderId="0" xfId="0" applyFont="1" applyFill="1" applyBorder="1" applyAlignment="1" applyProtection="1">
      <alignment wrapText="1"/>
    </xf>
    <xf numFmtId="0" fontId="0" fillId="37" borderId="36" xfId="0" applyFont="1" applyFill="1" applyBorder="1" applyProtection="1"/>
    <xf numFmtId="0" fontId="94" fillId="37" borderId="0" xfId="0" applyFont="1" applyFill="1" applyProtection="1"/>
    <xf numFmtId="0" fontId="94" fillId="37" borderId="0" xfId="0" applyFont="1" applyFill="1" applyBorder="1" applyProtection="1"/>
    <xf numFmtId="0" fontId="17" fillId="37" borderId="0" xfId="0" applyFont="1" applyFill="1" applyBorder="1" applyProtection="1">
      <protection locked="0"/>
    </xf>
    <xf numFmtId="0" fontId="0" fillId="37" borderId="25" xfId="0" applyFill="1" applyBorder="1" applyProtection="1">
      <protection locked="0"/>
    </xf>
    <xf numFmtId="0" fontId="0" fillId="37" borderId="26" xfId="0" applyFill="1" applyBorder="1" applyProtection="1">
      <protection locked="0"/>
    </xf>
    <xf numFmtId="0" fontId="0" fillId="37" borderId="27" xfId="0" applyFill="1" applyBorder="1" applyProtection="1">
      <protection locked="0"/>
    </xf>
    <xf numFmtId="0" fontId="0" fillId="0" borderId="33" xfId="0" applyBorder="1" applyAlignment="1">
      <alignment vertical="center" wrapText="1"/>
    </xf>
    <xf numFmtId="170" fontId="2" fillId="3" borderId="12" xfId="2" applyNumberFormat="1" applyFont="1" applyBorder="1" applyAlignment="1" applyProtection="1">
      <alignment horizontal="right" indent="1"/>
      <protection locked="0"/>
    </xf>
    <xf numFmtId="170" fontId="2" fillId="3" borderId="12" xfId="2" applyNumberFormat="1" applyFont="1" applyBorder="1" applyAlignment="1" applyProtection="1">
      <alignment horizontal="right" indent="1"/>
      <protection locked="0"/>
    </xf>
    <xf numFmtId="0" fontId="0" fillId="0" borderId="0" xfId="0"/>
    <xf numFmtId="0" fontId="88" fillId="38" borderId="12" xfId="0" applyFont="1" applyFill="1" applyBorder="1" applyAlignment="1">
      <alignment horizontal="left" vertical="top"/>
    </xf>
    <xf numFmtId="0" fontId="0" fillId="38" borderId="23" xfId="0" applyFill="1" applyBorder="1" applyAlignment="1">
      <alignment horizontal="left" vertical="top" wrapText="1"/>
    </xf>
    <xf numFmtId="0" fontId="0" fillId="38" borderId="30" xfId="0" applyFill="1" applyBorder="1" applyAlignment="1">
      <alignment horizontal="left" vertical="top" wrapText="1"/>
    </xf>
    <xf numFmtId="0" fontId="0" fillId="37" borderId="13" xfId="0" applyFill="1" applyBorder="1" applyAlignment="1" applyProtection="1">
      <alignment horizontal="center" wrapText="1"/>
    </xf>
    <xf numFmtId="0" fontId="0" fillId="37" borderId="0" xfId="0" applyFill="1" applyBorder="1" applyAlignment="1" applyProtection="1">
      <alignment horizontal="center" wrapText="1"/>
    </xf>
  </cellXfs>
  <cellStyles count="828">
    <cellStyle name="1." xfId="172"/>
    <cellStyle name="20 % - Akzent1" xfId="21" builtinId="30" customBuiltin="1"/>
    <cellStyle name="20 % - Akzent1 10" xfId="285"/>
    <cellStyle name="20 % - Akzent1 2" xfId="113"/>
    <cellStyle name="20 % - Akzent1 2 2" xfId="53"/>
    <cellStyle name="20 % - Akzent1 2 2 2" xfId="511"/>
    <cellStyle name="20 % - Akzent1 2 2 2 2" xfId="757"/>
    <cellStyle name="20 % - Akzent1 2 2 3" xfId="652"/>
    <cellStyle name="20 % - Akzent1 2 2 4" xfId="373"/>
    <cellStyle name="20 % - Akzent1 2 3" xfId="483"/>
    <cellStyle name="20 % - Akzent1 2 3 2" xfId="729"/>
    <cellStyle name="20 % - Akzent1 2 4" xfId="624"/>
    <cellStyle name="20 % - Akzent1 2 5" xfId="345"/>
    <cellStyle name="20 % - Akzent1 3" xfId="357"/>
    <cellStyle name="20 % - Akzent1 3 2" xfId="495"/>
    <cellStyle name="20 % - Akzent1 3 2 2" xfId="741"/>
    <cellStyle name="20 % - Akzent1 3 3" xfId="636"/>
    <cellStyle name="20 % - Akzent1 4" xfId="387"/>
    <cellStyle name="20 % - Akzent1 4 2" xfId="525"/>
    <cellStyle name="20 % - Akzent1 4 2 2" xfId="771"/>
    <cellStyle name="20 % - Akzent1 4 3" xfId="666"/>
    <cellStyle name="20 % - Akzent1 5" xfId="401"/>
    <cellStyle name="20 % - Akzent1 5 2" xfId="539"/>
    <cellStyle name="20 % - Akzent1 5 2 2" xfId="785"/>
    <cellStyle name="20 % - Akzent1 5 3" xfId="680"/>
    <cellStyle name="20 % - Akzent1 6" xfId="425"/>
    <cellStyle name="20 % - Akzent1 6 2" xfId="553"/>
    <cellStyle name="20 % - Akzent1 6 2 2" xfId="799"/>
    <cellStyle name="20 % - Akzent1 6 3" xfId="694"/>
    <cellStyle name="20 % - Akzent1 7" xfId="439"/>
    <cellStyle name="20 % - Akzent1 7 2" xfId="708"/>
    <cellStyle name="20 % - Akzent1 8" xfId="567"/>
    <cellStyle name="20 % - Akzent1 8 2" xfId="813"/>
    <cellStyle name="20 % - Akzent1 9" xfId="581"/>
    <cellStyle name="20 % - Akzent2" xfId="25" builtinId="34" customBuiltin="1"/>
    <cellStyle name="20 % - Akzent2 10" xfId="288"/>
    <cellStyle name="20 % - Akzent2 2" xfId="117"/>
    <cellStyle name="20 % - Akzent2 2 2" xfId="59"/>
    <cellStyle name="20 % - Akzent2 2 2 2" xfId="513"/>
    <cellStyle name="20 % - Akzent2 2 2 2 2" xfId="759"/>
    <cellStyle name="20 % - Akzent2 2 2 3" xfId="654"/>
    <cellStyle name="20 % - Akzent2 2 2 4" xfId="375"/>
    <cellStyle name="20 % - Akzent2 2 3" xfId="485"/>
    <cellStyle name="20 % - Akzent2 2 3 2" xfId="731"/>
    <cellStyle name="20 % - Akzent2 2 4" xfId="626"/>
    <cellStyle name="20 % - Akzent2 2 5" xfId="347"/>
    <cellStyle name="20 % - Akzent2 3" xfId="359"/>
    <cellStyle name="20 % - Akzent2 3 2" xfId="497"/>
    <cellStyle name="20 % - Akzent2 3 2 2" xfId="743"/>
    <cellStyle name="20 % - Akzent2 3 3" xfId="638"/>
    <cellStyle name="20 % - Akzent2 4" xfId="389"/>
    <cellStyle name="20 % - Akzent2 4 2" xfId="527"/>
    <cellStyle name="20 % - Akzent2 4 2 2" xfId="773"/>
    <cellStyle name="20 % - Akzent2 4 3" xfId="668"/>
    <cellStyle name="20 % - Akzent2 5" xfId="403"/>
    <cellStyle name="20 % - Akzent2 5 2" xfId="541"/>
    <cellStyle name="20 % - Akzent2 5 2 2" xfId="787"/>
    <cellStyle name="20 % - Akzent2 5 3" xfId="682"/>
    <cellStyle name="20 % - Akzent2 6" xfId="427"/>
    <cellStyle name="20 % - Akzent2 6 2" xfId="555"/>
    <cellStyle name="20 % - Akzent2 6 2 2" xfId="801"/>
    <cellStyle name="20 % - Akzent2 6 3" xfId="696"/>
    <cellStyle name="20 % - Akzent2 7" xfId="441"/>
    <cellStyle name="20 % - Akzent2 7 2" xfId="710"/>
    <cellStyle name="20 % - Akzent2 8" xfId="569"/>
    <cellStyle name="20 % - Akzent2 8 2" xfId="815"/>
    <cellStyle name="20 % - Akzent2 9" xfId="583"/>
    <cellStyle name="20 % - Akzent3" xfId="29" builtinId="38" customBuiltin="1"/>
    <cellStyle name="20 % - Akzent3 10" xfId="571"/>
    <cellStyle name="20 % - Akzent3 10 2" xfId="817"/>
    <cellStyle name="20 % - Akzent3 11" xfId="611"/>
    <cellStyle name="20 % - Akzent3 2" xfId="121"/>
    <cellStyle name="20 % - Akzent3 2 2" xfId="143"/>
    <cellStyle name="20 % - Akzent3 2 2 2" xfId="508"/>
    <cellStyle name="20 % - Akzent3 2 2 2 2" xfId="754"/>
    <cellStyle name="20 % - Akzent3 2 2 3" xfId="649"/>
    <cellStyle name="20 % - Akzent3 2 2 4" xfId="370"/>
    <cellStyle name="20 % - Akzent3 2 3" xfId="480"/>
    <cellStyle name="20 % - Akzent3 2 3 2" xfId="726"/>
    <cellStyle name="20 % - Akzent3 2 4" xfId="621"/>
    <cellStyle name="20 % - Akzent3 2 5" xfId="339"/>
    <cellStyle name="20 % - Akzent3 3" xfId="349"/>
    <cellStyle name="20 % - Akzent3 3 2" xfId="377"/>
    <cellStyle name="20 % - Akzent3 3 2 2" xfId="515"/>
    <cellStyle name="20 % - Akzent3 3 2 2 2" xfId="761"/>
    <cellStyle name="20 % - Akzent3 3 2 3" xfId="656"/>
    <cellStyle name="20 % - Akzent3 3 3" xfId="487"/>
    <cellStyle name="20 % - Akzent3 3 3 2" xfId="733"/>
    <cellStyle name="20 % - Akzent3 3 4" xfId="628"/>
    <cellStyle name="20 % - Akzent3 4" xfId="391"/>
    <cellStyle name="20 % - Akzent3 4 2" xfId="529"/>
    <cellStyle name="20 % - Akzent3 4 2 2" xfId="775"/>
    <cellStyle name="20 % - Akzent3 4 3" xfId="670"/>
    <cellStyle name="20 % - Akzent3 5" xfId="405"/>
    <cellStyle name="20 % - Akzent3 5 2" xfId="543"/>
    <cellStyle name="20 % - Akzent3 5 2 2" xfId="789"/>
    <cellStyle name="20 % - Akzent3 5 3" xfId="684"/>
    <cellStyle name="20 % - Akzent3 6" xfId="309"/>
    <cellStyle name="20 % - Akzent3 7" xfId="429"/>
    <cellStyle name="20 % - Akzent3 7 2" xfId="557"/>
    <cellStyle name="20 % - Akzent3 7 2 2" xfId="803"/>
    <cellStyle name="20 % - Akzent3 7 3" xfId="698"/>
    <cellStyle name="20 % - Akzent3 8" xfId="470"/>
    <cellStyle name="20 % - Akzent3 9" xfId="443"/>
    <cellStyle name="20 % - Akzent3 9 2" xfId="712"/>
    <cellStyle name="20 % - Akzent4" xfId="33" builtinId="42" customBuiltin="1"/>
    <cellStyle name="20 % - Akzent4 10" xfId="293"/>
    <cellStyle name="20 % - Akzent4 2" xfId="125"/>
    <cellStyle name="20 % - Akzent4 2 2" xfId="51"/>
    <cellStyle name="20 % - Akzent4 2 2 2" xfId="517"/>
    <cellStyle name="20 % - Akzent4 2 2 2 2" xfId="763"/>
    <cellStyle name="20 % - Akzent4 2 2 3" xfId="658"/>
    <cellStyle name="20 % - Akzent4 2 2 4" xfId="379"/>
    <cellStyle name="20 % - Akzent4 2 3" xfId="489"/>
    <cellStyle name="20 % - Akzent4 2 3 2" xfId="735"/>
    <cellStyle name="20 % - Akzent4 2 4" xfId="630"/>
    <cellStyle name="20 % - Akzent4 2 5" xfId="351"/>
    <cellStyle name="20 % - Akzent4 3" xfId="362"/>
    <cellStyle name="20 % - Akzent4 3 2" xfId="500"/>
    <cellStyle name="20 % - Akzent4 3 2 2" xfId="746"/>
    <cellStyle name="20 % - Akzent4 3 3" xfId="641"/>
    <cellStyle name="20 % - Akzent4 4" xfId="393"/>
    <cellStyle name="20 % - Akzent4 4 2" xfId="531"/>
    <cellStyle name="20 % - Akzent4 4 2 2" xfId="777"/>
    <cellStyle name="20 % - Akzent4 4 3" xfId="672"/>
    <cellStyle name="20 % - Akzent4 5" xfId="407"/>
    <cellStyle name="20 % - Akzent4 5 2" xfId="545"/>
    <cellStyle name="20 % - Akzent4 5 2 2" xfId="791"/>
    <cellStyle name="20 % - Akzent4 5 3" xfId="686"/>
    <cellStyle name="20 % - Akzent4 6" xfId="431"/>
    <cellStyle name="20 % - Akzent4 6 2" xfId="559"/>
    <cellStyle name="20 % - Akzent4 6 2 2" xfId="805"/>
    <cellStyle name="20 % - Akzent4 6 3" xfId="700"/>
    <cellStyle name="20 % - Akzent4 7" xfId="445"/>
    <cellStyle name="20 % - Akzent4 7 2" xfId="714"/>
    <cellStyle name="20 % - Akzent4 8" xfId="573"/>
    <cellStyle name="20 % - Akzent4 8 2" xfId="819"/>
    <cellStyle name="20 % - Akzent4 9" xfId="586"/>
    <cellStyle name="20 % - Akzent5" xfId="37" builtinId="46" customBuiltin="1"/>
    <cellStyle name="20 % - Akzent5 10" xfId="296"/>
    <cellStyle name="20 % - Akzent5 2" xfId="129"/>
    <cellStyle name="20 % - Akzent5 2 2" xfId="159"/>
    <cellStyle name="20 % - Akzent5 2 2 2" xfId="519"/>
    <cellStyle name="20 % - Akzent5 2 2 2 2" xfId="765"/>
    <cellStyle name="20 % - Akzent5 2 2 3" xfId="660"/>
    <cellStyle name="20 % - Akzent5 2 2 4" xfId="381"/>
    <cellStyle name="20 % - Akzent5 2 3" xfId="491"/>
    <cellStyle name="20 % - Akzent5 2 3 2" xfId="737"/>
    <cellStyle name="20 % - Akzent5 2 4" xfId="632"/>
    <cellStyle name="20 % - Akzent5 2 5" xfId="353"/>
    <cellStyle name="20 % - Akzent5 3" xfId="364"/>
    <cellStyle name="20 % - Akzent5 3 2" xfId="502"/>
    <cellStyle name="20 % - Akzent5 3 2 2" xfId="748"/>
    <cellStyle name="20 % - Akzent5 3 3" xfId="643"/>
    <cellStyle name="20 % - Akzent5 4" xfId="395"/>
    <cellStyle name="20 % - Akzent5 4 2" xfId="533"/>
    <cellStyle name="20 % - Akzent5 4 2 2" xfId="779"/>
    <cellStyle name="20 % - Akzent5 4 3" xfId="674"/>
    <cellStyle name="20 % - Akzent5 5" xfId="409"/>
    <cellStyle name="20 % - Akzent5 5 2" xfId="547"/>
    <cellStyle name="20 % - Akzent5 5 2 2" xfId="793"/>
    <cellStyle name="20 % - Akzent5 5 3" xfId="688"/>
    <cellStyle name="20 % - Akzent5 6" xfId="433"/>
    <cellStyle name="20 % - Akzent5 6 2" xfId="561"/>
    <cellStyle name="20 % - Akzent5 6 2 2" xfId="807"/>
    <cellStyle name="20 % - Akzent5 6 3" xfId="702"/>
    <cellStyle name="20 % - Akzent5 7" xfId="447"/>
    <cellStyle name="20 % - Akzent5 7 2" xfId="716"/>
    <cellStyle name="20 % - Akzent5 8" xfId="575"/>
    <cellStyle name="20 % - Akzent5 8 2" xfId="821"/>
    <cellStyle name="20 % - Akzent5 9" xfId="588"/>
    <cellStyle name="20 % - Akzent6" xfId="41" builtinId="50" customBuiltin="1"/>
    <cellStyle name="20 % - Akzent6 10" xfId="299"/>
    <cellStyle name="20 % - Akzent6 2" xfId="133"/>
    <cellStyle name="20 % - Akzent6 2 2" xfId="47"/>
    <cellStyle name="20 % - Akzent6 2 2 2" xfId="521"/>
    <cellStyle name="20 % - Akzent6 2 2 2 2" xfId="767"/>
    <cellStyle name="20 % - Akzent6 2 2 3" xfId="662"/>
    <cellStyle name="20 % - Akzent6 2 2 4" xfId="383"/>
    <cellStyle name="20 % - Akzent6 2 3" xfId="493"/>
    <cellStyle name="20 % - Akzent6 2 3 2" xfId="739"/>
    <cellStyle name="20 % - Akzent6 2 4" xfId="634"/>
    <cellStyle name="20 % - Akzent6 2 5" xfId="355"/>
    <cellStyle name="20 % - Akzent6 3" xfId="366"/>
    <cellStyle name="20 % - Akzent6 3 2" xfId="504"/>
    <cellStyle name="20 % - Akzent6 3 2 2" xfId="750"/>
    <cellStyle name="20 % - Akzent6 3 3" xfId="645"/>
    <cellStyle name="20 % - Akzent6 4" xfId="397"/>
    <cellStyle name="20 % - Akzent6 4 2" xfId="535"/>
    <cellStyle name="20 % - Akzent6 4 2 2" xfId="781"/>
    <cellStyle name="20 % - Akzent6 4 3" xfId="676"/>
    <cellStyle name="20 % - Akzent6 5" xfId="411"/>
    <cellStyle name="20 % - Akzent6 5 2" xfId="549"/>
    <cellStyle name="20 % - Akzent6 5 2 2" xfId="795"/>
    <cellStyle name="20 % - Akzent6 5 3" xfId="690"/>
    <cellStyle name="20 % - Akzent6 6" xfId="435"/>
    <cellStyle name="20 % - Akzent6 6 2" xfId="563"/>
    <cellStyle name="20 % - Akzent6 6 2 2" xfId="809"/>
    <cellStyle name="20 % - Akzent6 6 3" xfId="704"/>
    <cellStyle name="20 % - Akzent6 7" xfId="449"/>
    <cellStyle name="20 % - Akzent6 7 2" xfId="718"/>
    <cellStyle name="20 % - Akzent6 8" xfId="577"/>
    <cellStyle name="20 % - Akzent6 8 2" xfId="823"/>
    <cellStyle name="20 % - Akzent6 9" xfId="590"/>
    <cellStyle name="20% - Akzent1 2" xfId="63"/>
    <cellStyle name="20% - Akzent2 2" xfId="64"/>
    <cellStyle name="20% - Akzent3 2" xfId="65"/>
    <cellStyle name="20% - Akzent4 2" xfId="66"/>
    <cellStyle name="20% - Akzent5 2" xfId="67"/>
    <cellStyle name="20% - Akzent6 2" xfId="68"/>
    <cellStyle name="40 % - Akzent1" xfId="22" builtinId="31" customBuiltin="1"/>
    <cellStyle name="40 % - Akzent1 10" xfId="286"/>
    <cellStyle name="40 % - Akzent1 2" xfId="114"/>
    <cellStyle name="40 % - Akzent1 2 2" xfId="145"/>
    <cellStyle name="40 % - Akzent1 2 2 2" xfId="512"/>
    <cellStyle name="40 % - Akzent1 2 2 2 2" xfId="758"/>
    <cellStyle name="40 % - Akzent1 2 2 3" xfId="653"/>
    <cellStyle name="40 % - Akzent1 2 2 4" xfId="374"/>
    <cellStyle name="40 % - Akzent1 2 3" xfId="484"/>
    <cellStyle name="40 % - Akzent1 2 3 2" xfId="730"/>
    <cellStyle name="40 % - Akzent1 2 4" xfId="625"/>
    <cellStyle name="40 % - Akzent1 2 5" xfId="346"/>
    <cellStyle name="40 % - Akzent1 3" xfId="358"/>
    <cellStyle name="40 % - Akzent1 3 2" xfId="496"/>
    <cellStyle name="40 % - Akzent1 3 2 2" xfId="742"/>
    <cellStyle name="40 % - Akzent1 3 3" xfId="637"/>
    <cellStyle name="40 % - Akzent1 4" xfId="388"/>
    <cellStyle name="40 % - Akzent1 4 2" xfId="526"/>
    <cellStyle name="40 % - Akzent1 4 2 2" xfId="772"/>
    <cellStyle name="40 % - Akzent1 4 3" xfId="667"/>
    <cellStyle name="40 % - Akzent1 5" xfId="402"/>
    <cellStyle name="40 % - Akzent1 5 2" xfId="540"/>
    <cellStyle name="40 % - Akzent1 5 2 2" xfId="786"/>
    <cellStyle name="40 % - Akzent1 5 3" xfId="681"/>
    <cellStyle name="40 % - Akzent1 6" xfId="426"/>
    <cellStyle name="40 % - Akzent1 6 2" xfId="554"/>
    <cellStyle name="40 % - Akzent1 6 2 2" xfId="800"/>
    <cellStyle name="40 % - Akzent1 6 3" xfId="695"/>
    <cellStyle name="40 % - Akzent1 7" xfId="440"/>
    <cellStyle name="40 % - Akzent1 7 2" xfId="709"/>
    <cellStyle name="40 % - Akzent1 8" xfId="568"/>
    <cellStyle name="40 % - Akzent1 8 2" xfId="814"/>
    <cellStyle name="40 % - Akzent1 9" xfId="582"/>
    <cellStyle name="40 % - Akzent2" xfId="26" builtinId="35" customBuiltin="1"/>
    <cellStyle name="40 % - Akzent2 10" xfId="289"/>
    <cellStyle name="40 % - Akzent2 2" xfId="118"/>
    <cellStyle name="40 % - Akzent2 2 2" xfId="151"/>
    <cellStyle name="40 % - Akzent2 2 2 2" xfId="514"/>
    <cellStyle name="40 % - Akzent2 2 2 2 2" xfId="760"/>
    <cellStyle name="40 % - Akzent2 2 2 3" xfId="655"/>
    <cellStyle name="40 % - Akzent2 2 2 4" xfId="376"/>
    <cellStyle name="40 % - Akzent2 2 3" xfId="486"/>
    <cellStyle name="40 % - Akzent2 2 3 2" xfId="732"/>
    <cellStyle name="40 % - Akzent2 2 4" xfId="627"/>
    <cellStyle name="40 % - Akzent2 2 5" xfId="348"/>
    <cellStyle name="40 % - Akzent2 3" xfId="360"/>
    <cellStyle name="40 % - Akzent2 3 2" xfId="498"/>
    <cellStyle name="40 % - Akzent2 3 2 2" xfId="744"/>
    <cellStyle name="40 % - Akzent2 3 3" xfId="639"/>
    <cellStyle name="40 % - Akzent2 4" xfId="390"/>
    <cellStyle name="40 % - Akzent2 4 2" xfId="528"/>
    <cellStyle name="40 % - Akzent2 4 2 2" xfId="774"/>
    <cellStyle name="40 % - Akzent2 4 3" xfId="669"/>
    <cellStyle name="40 % - Akzent2 5" xfId="404"/>
    <cellStyle name="40 % - Akzent2 5 2" xfId="542"/>
    <cellStyle name="40 % - Akzent2 5 2 2" xfId="788"/>
    <cellStyle name="40 % - Akzent2 5 3" xfId="683"/>
    <cellStyle name="40 % - Akzent2 6" xfId="428"/>
    <cellStyle name="40 % - Akzent2 6 2" xfId="556"/>
    <cellStyle name="40 % - Akzent2 6 2 2" xfId="802"/>
    <cellStyle name="40 % - Akzent2 6 3" xfId="697"/>
    <cellStyle name="40 % - Akzent2 7" xfId="442"/>
    <cellStyle name="40 % - Akzent2 7 2" xfId="711"/>
    <cellStyle name="40 % - Akzent2 8" xfId="570"/>
    <cellStyle name="40 % - Akzent2 8 2" xfId="816"/>
    <cellStyle name="40 % - Akzent2 9" xfId="584"/>
    <cellStyle name="40 % - Akzent3" xfId="30" builtinId="39" customBuiltin="1"/>
    <cellStyle name="40 % - Akzent3 10" xfId="291"/>
    <cellStyle name="40 % - Akzent3 2" xfId="122"/>
    <cellStyle name="40 % - Akzent3 2 2" xfId="155"/>
    <cellStyle name="40 % - Akzent3 2 2 2" xfId="516"/>
    <cellStyle name="40 % - Akzent3 2 2 2 2" xfId="762"/>
    <cellStyle name="40 % - Akzent3 2 2 3" xfId="657"/>
    <cellStyle name="40 % - Akzent3 2 2 4" xfId="378"/>
    <cellStyle name="40 % - Akzent3 2 3" xfId="488"/>
    <cellStyle name="40 % - Akzent3 2 3 2" xfId="734"/>
    <cellStyle name="40 % - Akzent3 2 4" xfId="629"/>
    <cellStyle name="40 % - Akzent3 2 5" xfId="350"/>
    <cellStyle name="40 % - Akzent3 3" xfId="361"/>
    <cellStyle name="40 % - Akzent3 3 2" xfId="499"/>
    <cellStyle name="40 % - Akzent3 3 2 2" xfId="745"/>
    <cellStyle name="40 % - Akzent3 3 3" xfId="640"/>
    <cellStyle name="40 % - Akzent3 4" xfId="392"/>
    <cellStyle name="40 % - Akzent3 4 2" xfId="530"/>
    <cellStyle name="40 % - Akzent3 4 2 2" xfId="776"/>
    <cellStyle name="40 % - Akzent3 4 3" xfId="671"/>
    <cellStyle name="40 % - Akzent3 5" xfId="406"/>
    <cellStyle name="40 % - Akzent3 5 2" xfId="544"/>
    <cellStyle name="40 % - Akzent3 5 2 2" xfId="790"/>
    <cellStyle name="40 % - Akzent3 5 3" xfId="685"/>
    <cellStyle name="40 % - Akzent3 6" xfId="430"/>
    <cellStyle name="40 % - Akzent3 6 2" xfId="558"/>
    <cellStyle name="40 % - Akzent3 6 2 2" xfId="804"/>
    <cellStyle name="40 % - Akzent3 6 3" xfId="699"/>
    <cellStyle name="40 % - Akzent3 7" xfId="444"/>
    <cellStyle name="40 % - Akzent3 7 2" xfId="713"/>
    <cellStyle name="40 % - Akzent3 8" xfId="572"/>
    <cellStyle name="40 % - Akzent3 8 2" xfId="818"/>
    <cellStyle name="40 % - Akzent3 9" xfId="585"/>
    <cellStyle name="40 % - Akzent4" xfId="34" builtinId="43" customBuiltin="1"/>
    <cellStyle name="40 % - Akzent4 10" xfId="294"/>
    <cellStyle name="40 % - Akzent4 2" xfId="126"/>
    <cellStyle name="40 % - Akzent4 2 2" xfId="54"/>
    <cellStyle name="40 % - Akzent4 2 2 2" xfId="518"/>
    <cellStyle name="40 % - Akzent4 2 2 2 2" xfId="764"/>
    <cellStyle name="40 % - Akzent4 2 2 3" xfId="659"/>
    <cellStyle name="40 % - Akzent4 2 2 4" xfId="380"/>
    <cellStyle name="40 % - Akzent4 2 3" xfId="490"/>
    <cellStyle name="40 % - Akzent4 2 3 2" xfId="736"/>
    <cellStyle name="40 % - Akzent4 2 4" xfId="631"/>
    <cellStyle name="40 % - Akzent4 2 5" xfId="352"/>
    <cellStyle name="40 % - Akzent4 3" xfId="363"/>
    <cellStyle name="40 % - Akzent4 3 2" xfId="501"/>
    <cellStyle name="40 % - Akzent4 3 2 2" xfId="747"/>
    <cellStyle name="40 % - Akzent4 3 3" xfId="642"/>
    <cellStyle name="40 % - Akzent4 4" xfId="394"/>
    <cellStyle name="40 % - Akzent4 4 2" xfId="532"/>
    <cellStyle name="40 % - Akzent4 4 2 2" xfId="778"/>
    <cellStyle name="40 % - Akzent4 4 3" xfId="673"/>
    <cellStyle name="40 % - Akzent4 5" xfId="408"/>
    <cellStyle name="40 % - Akzent4 5 2" xfId="546"/>
    <cellStyle name="40 % - Akzent4 5 2 2" xfId="792"/>
    <cellStyle name="40 % - Akzent4 5 3" xfId="687"/>
    <cellStyle name="40 % - Akzent4 6" xfId="432"/>
    <cellStyle name="40 % - Akzent4 6 2" xfId="560"/>
    <cellStyle name="40 % - Akzent4 6 2 2" xfId="806"/>
    <cellStyle name="40 % - Akzent4 6 3" xfId="701"/>
    <cellStyle name="40 % - Akzent4 7" xfId="446"/>
    <cellStyle name="40 % - Akzent4 7 2" xfId="715"/>
    <cellStyle name="40 % - Akzent4 8" xfId="574"/>
    <cellStyle name="40 % - Akzent4 8 2" xfId="820"/>
    <cellStyle name="40 % - Akzent4 9" xfId="587"/>
    <cellStyle name="40 % - Akzent5" xfId="38" builtinId="47" customBuiltin="1"/>
    <cellStyle name="40 % - Akzent5 10" xfId="297"/>
    <cellStyle name="40 % - Akzent5 2" xfId="130"/>
    <cellStyle name="40 % - Akzent5 2 2" xfId="154"/>
    <cellStyle name="40 % - Akzent5 2 2 2" xfId="520"/>
    <cellStyle name="40 % - Akzent5 2 2 2 2" xfId="766"/>
    <cellStyle name="40 % - Akzent5 2 2 3" xfId="661"/>
    <cellStyle name="40 % - Akzent5 2 2 4" xfId="382"/>
    <cellStyle name="40 % - Akzent5 2 3" xfId="492"/>
    <cellStyle name="40 % - Akzent5 2 3 2" xfId="738"/>
    <cellStyle name="40 % - Akzent5 2 4" xfId="633"/>
    <cellStyle name="40 % - Akzent5 2 5" xfId="354"/>
    <cellStyle name="40 % - Akzent5 3" xfId="365"/>
    <cellStyle name="40 % - Akzent5 3 2" xfId="503"/>
    <cellStyle name="40 % - Akzent5 3 2 2" xfId="749"/>
    <cellStyle name="40 % - Akzent5 3 3" xfId="644"/>
    <cellStyle name="40 % - Akzent5 4" xfId="396"/>
    <cellStyle name="40 % - Akzent5 4 2" xfId="534"/>
    <cellStyle name="40 % - Akzent5 4 2 2" xfId="780"/>
    <cellStyle name="40 % - Akzent5 4 3" xfId="675"/>
    <cellStyle name="40 % - Akzent5 5" xfId="410"/>
    <cellStyle name="40 % - Akzent5 5 2" xfId="548"/>
    <cellStyle name="40 % - Akzent5 5 2 2" xfId="794"/>
    <cellStyle name="40 % - Akzent5 5 3" xfId="689"/>
    <cellStyle name="40 % - Akzent5 6" xfId="434"/>
    <cellStyle name="40 % - Akzent5 6 2" xfId="562"/>
    <cellStyle name="40 % - Akzent5 6 2 2" xfId="808"/>
    <cellStyle name="40 % - Akzent5 6 3" xfId="703"/>
    <cellStyle name="40 % - Akzent5 7" xfId="448"/>
    <cellStyle name="40 % - Akzent5 7 2" xfId="717"/>
    <cellStyle name="40 % - Akzent5 8" xfId="576"/>
    <cellStyle name="40 % - Akzent5 8 2" xfId="822"/>
    <cellStyle name="40 % - Akzent5 9" xfId="589"/>
    <cellStyle name="40 % - Akzent6" xfId="42" builtinId="51" customBuiltin="1"/>
    <cellStyle name="40 % - Akzent6 10" xfId="300"/>
    <cellStyle name="40 % - Akzent6 2" xfId="134"/>
    <cellStyle name="40 % - Akzent6 2 2" xfId="146"/>
    <cellStyle name="40 % - Akzent6 2 2 2" xfId="522"/>
    <cellStyle name="40 % - Akzent6 2 2 2 2" xfId="768"/>
    <cellStyle name="40 % - Akzent6 2 2 3" xfId="663"/>
    <cellStyle name="40 % - Akzent6 2 2 4" xfId="384"/>
    <cellStyle name="40 % - Akzent6 2 3" xfId="494"/>
    <cellStyle name="40 % - Akzent6 2 3 2" xfId="740"/>
    <cellStyle name="40 % - Akzent6 2 4" xfId="635"/>
    <cellStyle name="40 % - Akzent6 2 5" xfId="356"/>
    <cellStyle name="40 % - Akzent6 3" xfId="367"/>
    <cellStyle name="40 % - Akzent6 3 2" xfId="505"/>
    <cellStyle name="40 % - Akzent6 3 2 2" xfId="751"/>
    <cellStyle name="40 % - Akzent6 3 3" xfId="646"/>
    <cellStyle name="40 % - Akzent6 4" xfId="398"/>
    <cellStyle name="40 % - Akzent6 4 2" xfId="536"/>
    <cellStyle name="40 % - Akzent6 4 2 2" xfId="782"/>
    <cellStyle name="40 % - Akzent6 4 3" xfId="677"/>
    <cellStyle name="40 % - Akzent6 5" xfId="412"/>
    <cellStyle name="40 % - Akzent6 5 2" xfId="550"/>
    <cellStyle name="40 % - Akzent6 5 2 2" xfId="796"/>
    <cellStyle name="40 % - Akzent6 5 3" xfId="691"/>
    <cellStyle name="40 % - Akzent6 6" xfId="436"/>
    <cellStyle name="40 % - Akzent6 6 2" xfId="564"/>
    <cellStyle name="40 % - Akzent6 6 2 2" xfId="810"/>
    <cellStyle name="40 % - Akzent6 6 3" xfId="705"/>
    <cellStyle name="40 % - Akzent6 7" xfId="450"/>
    <cellStyle name="40 % - Akzent6 7 2" xfId="719"/>
    <cellStyle name="40 % - Akzent6 8" xfId="578"/>
    <cellStyle name="40 % - Akzent6 8 2" xfId="824"/>
    <cellStyle name="40 % - Akzent6 9" xfId="591"/>
    <cellStyle name="40% - Akzent1 2" xfId="69"/>
    <cellStyle name="40% - Akzent2 2" xfId="70"/>
    <cellStyle name="40% - Akzent3 2" xfId="71"/>
    <cellStyle name="40% - Akzent4 2" xfId="72"/>
    <cellStyle name="40% - Akzent5 2" xfId="73"/>
    <cellStyle name="40% - Akzent6 2" xfId="74"/>
    <cellStyle name="60 % - Akzent1" xfId="23" builtinId="32" customBuiltin="1"/>
    <cellStyle name="60 % - Akzent1 2" xfId="115"/>
    <cellStyle name="60 % - Akzent1 2 2" xfId="150"/>
    <cellStyle name="60 % - Akzent1 3" xfId="287"/>
    <cellStyle name="60 % - Akzent2" xfId="27" builtinId="36" customBuiltin="1"/>
    <cellStyle name="60 % - Akzent2 2" xfId="119"/>
    <cellStyle name="60 % - Akzent2 2 2" xfId="61"/>
    <cellStyle name="60 % - Akzent2 3" xfId="290"/>
    <cellStyle name="60 % - Akzent3" xfId="31" builtinId="40" customBuiltin="1"/>
    <cellStyle name="60 % - Akzent3 2" xfId="123"/>
    <cellStyle name="60 % - Akzent3 2 2" xfId="152"/>
    <cellStyle name="60 % - Akzent3 3" xfId="292"/>
    <cellStyle name="60 % - Akzent4" xfId="35" builtinId="44" customBuiltin="1"/>
    <cellStyle name="60 % - Akzent4 2" xfId="127"/>
    <cellStyle name="60 % - Akzent4 2 2" xfId="153"/>
    <cellStyle name="60 % - Akzent4 3" xfId="295"/>
    <cellStyle name="60 % - Akzent5" xfId="39" builtinId="48" customBuiltin="1"/>
    <cellStyle name="60 % - Akzent5 2" xfId="131"/>
    <cellStyle name="60 % - Akzent5 2 2" xfId="137"/>
    <cellStyle name="60 % - Akzent5 3" xfId="298"/>
    <cellStyle name="60 % - Akzent6" xfId="43" builtinId="52" customBuiltin="1"/>
    <cellStyle name="60 % - Akzent6 2" xfId="135"/>
    <cellStyle name="60 % - Akzent6 2 2" xfId="55"/>
    <cellStyle name="60 % - Akzent6 3" xfId="301"/>
    <cellStyle name="Akzent1" xfId="20" builtinId="29" customBuiltin="1"/>
    <cellStyle name="Akzent1 2" xfId="112"/>
    <cellStyle name="Akzent1 2 2" xfId="149"/>
    <cellStyle name="Akzent1 2 2 2" xfId="336"/>
    <cellStyle name="Akzent1 3" xfId="415"/>
    <cellStyle name="Akzent1 4" xfId="467"/>
    <cellStyle name="Akzent1 5" xfId="608"/>
    <cellStyle name="Akzent2" xfId="24" builtinId="33" customBuiltin="1"/>
    <cellStyle name="Akzent2 2" xfId="116"/>
    <cellStyle name="Akzent2 2 2" xfId="56"/>
    <cellStyle name="Akzent2 2 2 2" xfId="337"/>
    <cellStyle name="Akzent2 3" xfId="303"/>
    <cellStyle name="Akzent2 4" xfId="468"/>
    <cellStyle name="Akzent2 5" xfId="609"/>
    <cellStyle name="Akzent3" xfId="28" builtinId="37" customBuiltin="1"/>
    <cellStyle name="Akzent3 2" xfId="120"/>
    <cellStyle name="Akzent3 2 2" xfId="158"/>
    <cellStyle name="Akzent3 2 2 2" xfId="338"/>
    <cellStyle name="Akzent3 3" xfId="305"/>
    <cellStyle name="Akzent3 4" xfId="469"/>
    <cellStyle name="Akzent3 5" xfId="610"/>
    <cellStyle name="Akzent4" xfId="32" builtinId="41" customBuiltin="1"/>
    <cellStyle name="Akzent4 2" xfId="124"/>
    <cellStyle name="Akzent4 2 2" xfId="48"/>
    <cellStyle name="Akzent4 2 2 2" xfId="340"/>
    <cellStyle name="Akzent4 3" xfId="317"/>
    <cellStyle name="Akzent4 4" xfId="471"/>
    <cellStyle name="Akzent4 5" xfId="612"/>
    <cellStyle name="Akzent5" xfId="36" builtinId="45" customBuiltin="1"/>
    <cellStyle name="Akzent5 2" xfId="128"/>
    <cellStyle name="Akzent5 2 2" xfId="58"/>
    <cellStyle name="Akzent5 2 2 2" xfId="341"/>
    <cellStyle name="Akzent5 3" xfId="319"/>
    <cellStyle name="Akzent5 4" xfId="472"/>
    <cellStyle name="Akzent5 5" xfId="613"/>
    <cellStyle name="Akzent6" xfId="40" builtinId="49" customBuiltin="1"/>
    <cellStyle name="Akzent6 2" xfId="132"/>
    <cellStyle name="Akzent6 2 2" xfId="144"/>
    <cellStyle name="Akzent6 2 2 2" xfId="342"/>
    <cellStyle name="Akzent6 3" xfId="416"/>
    <cellStyle name="Akzent6 4" xfId="473"/>
    <cellStyle name="Akzent6 5" xfId="614"/>
    <cellStyle name="Ausgabe" xfId="12" builtinId="21" customBuiltin="1"/>
    <cellStyle name="Ausgabe 2" xfId="104"/>
    <cellStyle name="Ausgabe 2 2" xfId="142"/>
    <cellStyle name="Ausgabe 2 2 2" xfId="328"/>
    <cellStyle name="Ausgabe 3" xfId="316"/>
    <cellStyle name="Ausgabe 4" xfId="460"/>
    <cellStyle name="Ausgabe 5" xfId="601"/>
    <cellStyle name="Berechnung" xfId="13" builtinId="22" customBuiltin="1"/>
    <cellStyle name="Berechnung 2" xfId="105"/>
    <cellStyle name="Berechnung 2 2" xfId="60"/>
    <cellStyle name="Berechnung 2 2 2" xfId="329"/>
    <cellStyle name="Berechnung 3" xfId="315"/>
    <cellStyle name="Berechnung 4" xfId="461"/>
    <cellStyle name="Berechnung 5" xfId="602"/>
    <cellStyle name="Comma [0]" xfId="173"/>
    <cellStyle name="Comma [0] 2" xfId="174"/>
    <cellStyle name="Comma [0] 3" xfId="175"/>
    <cellStyle name="Comma [0] 4" xfId="176"/>
    <cellStyle name="Comma [0] 5" xfId="177"/>
    <cellStyle name="Comma [0] 6" xfId="178"/>
    <cellStyle name="Comma [0] 7" xfId="179"/>
    <cellStyle name="Comma [0] 7 2" xfId="283"/>
    <cellStyle name="Currency [0]" xfId="180"/>
    <cellStyle name="Currency [0] 2" xfId="181"/>
    <cellStyle name="Currency [0] 3" xfId="182"/>
    <cellStyle name="Currency [0] 4" xfId="183"/>
    <cellStyle name="Currency [0] 5" xfId="184"/>
    <cellStyle name="Currency [0] 6" xfId="185"/>
    <cellStyle name="Currency [0] 7" xfId="186"/>
    <cellStyle name="Currency [0] 7 2" xfId="282"/>
    <cellStyle name="Datum" xfId="187"/>
    <cellStyle name="Datum [0]" xfId="188"/>
    <cellStyle name="Datum [0] 2" xfId="189"/>
    <cellStyle name="Datum [0] 3" xfId="190"/>
    <cellStyle name="Datum [0] 4" xfId="191"/>
    <cellStyle name="Datum [0] 5" xfId="192"/>
    <cellStyle name="Datum [0] 6" xfId="193"/>
    <cellStyle name="Datum [0] 7" xfId="194"/>
    <cellStyle name="Datum [0] 7 2" xfId="281"/>
    <cellStyle name="Dezimal 2" xfId="195"/>
    <cellStyle name="Dezimal 2 2" xfId="280"/>
    <cellStyle name="Eingabe" xfId="2" builtinId="20" customBuiltin="1"/>
    <cellStyle name="Eingabe 2" xfId="103"/>
    <cellStyle name="Eingabe 2 2" xfId="156"/>
    <cellStyle name="Eingabe 2 2 2" xfId="327"/>
    <cellStyle name="Eingabe 3" xfId="422"/>
    <cellStyle name="Eingabe 4" xfId="459"/>
    <cellStyle name="Eingabe 5" xfId="600"/>
    <cellStyle name="Ergebnis" xfId="19" builtinId="25" customBuiltin="1"/>
    <cellStyle name="Ergebnis 2" xfId="111"/>
    <cellStyle name="Ergebnis 2 2" xfId="45"/>
    <cellStyle name="Ergebnis 2 2 2" xfId="335"/>
    <cellStyle name="Ergebnis 3" xfId="302"/>
    <cellStyle name="Ergebnis 4" xfId="466"/>
    <cellStyle name="Ergebnis 5" xfId="607"/>
    <cellStyle name="Erklärender Text" xfId="18" builtinId="53" customBuiltin="1"/>
    <cellStyle name="Erklärender Text 2" xfId="110"/>
    <cellStyle name="Erklärender Text 2 2" xfId="148"/>
    <cellStyle name="Erklärender Text 2 2 2" xfId="334"/>
    <cellStyle name="Erklärender Text 3" xfId="421"/>
    <cellStyle name="Erklärender Text 4" xfId="465"/>
    <cellStyle name="Erklärender Text 5" xfId="606"/>
    <cellStyle name="Euro" xfId="196"/>
    <cellStyle name="Euro 2" xfId="197"/>
    <cellStyle name="Euro 3" xfId="198"/>
    <cellStyle name="Euro 4" xfId="199"/>
    <cellStyle name="Euro 5" xfId="200"/>
    <cellStyle name="Euro 6" xfId="201"/>
    <cellStyle name="Euro 7" xfId="202"/>
    <cellStyle name="Euro 7 2" xfId="279"/>
    <cellStyle name="Fest" xfId="203"/>
    <cellStyle name="Gut" xfId="10" builtinId="26" customBuiltin="1"/>
    <cellStyle name="Gut 2" xfId="100"/>
    <cellStyle name="Gut 2 2" xfId="139"/>
    <cellStyle name="Gut 2 2 2" xfId="324"/>
    <cellStyle name="Gut 3" xfId="414"/>
    <cellStyle name="Gut 4" xfId="456"/>
    <cellStyle name="Gut 5" xfId="597"/>
    <cellStyle name="Helv 08" xfId="204"/>
    <cellStyle name="Helv 12 fett" xfId="205"/>
    <cellStyle name="Helv 14 fett" xfId="206"/>
    <cellStyle name="Helv 18 fett" xfId="207"/>
    <cellStyle name="Hyperlink 2" xfId="91"/>
    <cellStyle name="Hyperlink 2 2" xfId="167"/>
    <cellStyle name="Komma" xfId="4" builtinId="3"/>
    <cellStyle name="Komma 2" xfId="169"/>
    <cellStyle name="Komma 2 2" xfId="209"/>
    <cellStyle name="Komma 3" xfId="210"/>
    <cellStyle name="Komma 4" xfId="211"/>
    <cellStyle name="Komma 5" xfId="212"/>
    <cellStyle name="Komma 6" xfId="213"/>
    <cellStyle name="Komma 7" xfId="208"/>
    <cellStyle name="Komma 8" xfId="271"/>
    <cellStyle name="Kopfzeile1" xfId="214"/>
    <cellStyle name="Kopfzeile2" xfId="215"/>
    <cellStyle name="Neutral" xfId="11" builtinId="28" customBuiltin="1"/>
    <cellStyle name="Neutral 2" xfId="102"/>
    <cellStyle name="Neutral 2 2" xfId="147"/>
    <cellStyle name="Neutral 2 2 2" xfId="326"/>
    <cellStyle name="Neutral 3" xfId="418"/>
    <cellStyle name="Neutral 4" xfId="458"/>
    <cellStyle name="Neutral 5" xfId="599"/>
    <cellStyle name="Notiz" xfId="17" builtinId="10" customBuiltin="1"/>
    <cellStyle name="Notiz 10" xfId="424"/>
    <cellStyle name="Notiz 10 2" xfId="552"/>
    <cellStyle name="Notiz 10 2 2" xfId="798"/>
    <cellStyle name="Notiz 10 3" xfId="693"/>
    <cellStyle name="Notiz 11" xfId="438"/>
    <cellStyle name="Notiz 11 2" xfId="707"/>
    <cellStyle name="Notiz 12" xfId="566"/>
    <cellStyle name="Notiz 12 2" xfId="812"/>
    <cellStyle name="Notiz 2" xfId="75"/>
    <cellStyle name="Notiz 2 2" xfId="140"/>
    <cellStyle name="Notiz 2 3" xfId="50"/>
    <cellStyle name="Notiz 3" xfId="76"/>
    <cellStyle name="Notiz 4" xfId="77"/>
    <cellStyle name="Notiz 5" xfId="78"/>
    <cellStyle name="Notiz 6" xfId="109"/>
    <cellStyle name="Notiz 6 2" xfId="369"/>
    <cellStyle name="Notiz 6 2 2" xfId="507"/>
    <cellStyle name="Notiz 6 2 2 2" xfId="753"/>
    <cellStyle name="Notiz 6 2 3" xfId="648"/>
    <cellStyle name="Notiz 6 3" xfId="479"/>
    <cellStyle name="Notiz 6 3 2" xfId="725"/>
    <cellStyle name="Notiz 6 4" xfId="620"/>
    <cellStyle name="Notiz 6 5" xfId="333"/>
    <cellStyle name="Notiz 7" xfId="344"/>
    <cellStyle name="Notiz 7 2" xfId="372"/>
    <cellStyle name="Notiz 7 2 2" xfId="510"/>
    <cellStyle name="Notiz 7 2 2 2" xfId="756"/>
    <cellStyle name="Notiz 7 2 3" xfId="651"/>
    <cellStyle name="Notiz 7 3" xfId="482"/>
    <cellStyle name="Notiz 7 3 2" xfId="728"/>
    <cellStyle name="Notiz 7 4" xfId="623"/>
    <cellStyle name="Notiz 8" xfId="386"/>
    <cellStyle name="Notiz 8 2" xfId="524"/>
    <cellStyle name="Notiz 8 2 2" xfId="770"/>
    <cellStyle name="Notiz 8 3" xfId="665"/>
    <cellStyle name="Notiz 9" xfId="400"/>
    <cellStyle name="Notiz 9 2" xfId="538"/>
    <cellStyle name="Notiz 9 2 2" xfId="784"/>
    <cellStyle name="Notiz 9 3" xfId="679"/>
    <cellStyle name="Prozent" xfId="3" builtinId="5"/>
    <cellStyle name="Prozent 2" xfId="80"/>
    <cellStyle name="Prozent 2 2" xfId="217"/>
    <cellStyle name="Prozent 2 2 2" xfId="312"/>
    <cellStyle name="Prozent 2 2 3" xfId="826"/>
    <cellStyle name="Prozent 2 3" xfId="277"/>
    <cellStyle name="Prozent 3" xfId="79"/>
    <cellStyle name="Prozent 3 2" xfId="218"/>
    <cellStyle name="Prozent 3 2 2" xfId="313"/>
    <cellStyle name="Prozent 3 3" xfId="284"/>
    <cellStyle name="Prozent 4" xfId="219"/>
    <cellStyle name="Prozent 4 2" xfId="273"/>
    <cellStyle name="Prozent 5" xfId="220"/>
    <cellStyle name="Prozent 5 2" xfId="276"/>
    <cellStyle name="Prozent 6" xfId="221"/>
    <cellStyle name="Prozent 6 2" xfId="275"/>
    <cellStyle name="Prozent 7" xfId="222"/>
    <cellStyle name="Prozent 7 2" xfId="274"/>
    <cellStyle name="Prozent 8" xfId="216"/>
    <cellStyle name="Prozent 8 2" xfId="278"/>
    <cellStyle name="Prozent[1]" xfId="223"/>
    <cellStyle name="Prozent[2]" xfId="224"/>
    <cellStyle name="Schattiert" xfId="225"/>
    <cellStyle name="Schattiert 2" xfId="226"/>
    <cellStyle name="Schattiert 3" xfId="227"/>
    <cellStyle name="Schattiert 4" xfId="228"/>
    <cellStyle name="Schattiert 5" xfId="229"/>
    <cellStyle name="Schattiert 6" xfId="230"/>
    <cellStyle name="Schlecht" xfId="1" builtinId="27" customBuiltin="1"/>
    <cellStyle name="Schlecht 2" xfId="101"/>
    <cellStyle name="Schlecht 2 2" xfId="57"/>
    <cellStyle name="Schlecht 2 2 2" xfId="325"/>
    <cellStyle name="Schlecht 3" xfId="304"/>
    <cellStyle name="Schlecht 4" xfId="457"/>
    <cellStyle name="Schlecht 5" xfId="598"/>
    <cellStyle name="Standard" xfId="0" builtinId="0"/>
    <cellStyle name="Standard 10" xfId="95"/>
    <cellStyle name="Standard 10 2" xfId="368"/>
    <cellStyle name="Standard 10 2 2" xfId="506"/>
    <cellStyle name="Standard 10 2 2 2" xfId="752"/>
    <cellStyle name="Standard 10 2 3" xfId="647"/>
    <cellStyle name="Standard 10 2 4" xfId="825"/>
    <cellStyle name="Standard 10 3" xfId="306"/>
    <cellStyle name="Standard 10 3 2" xfId="476"/>
    <cellStyle name="Standard 10 3 2 2" xfId="722"/>
    <cellStyle name="Standard 10 3 3" xfId="617"/>
    <cellStyle name="Standard 10 4" xfId="474"/>
    <cellStyle name="Standard 10 4 2" xfId="720"/>
    <cellStyle name="Standard 10 5" xfId="615"/>
    <cellStyle name="Standard 10 6" xfId="161"/>
    <cellStyle name="Standard 11" xfId="170"/>
    <cellStyle name="Standard 11 2" xfId="371"/>
    <cellStyle name="Standard 11 2 2" xfId="509"/>
    <cellStyle name="Standard 11 2 2 2" xfId="755"/>
    <cellStyle name="Standard 11 2 3" xfId="650"/>
    <cellStyle name="Standard 11 3" xfId="307"/>
    <cellStyle name="Standard 11 3 2" xfId="477"/>
    <cellStyle name="Standard 11 3 2 2" xfId="723"/>
    <cellStyle name="Standard 11 3 3" xfId="618"/>
    <cellStyle name="Standard 11 4" xfId="475"/>
    <cellStyle name="Standard 11 4 2" xfId="721"/>
    <cellStyle name="Standard 11 5" xfId="616"/>
    <cellStyle name="Standard 12" xfId="160"/>
    <cellStyle name="Standard 12 2" xfId="478"/>
    <cellStyle name="Standard 12 2 2" xfId="724"/>
    <cellStyle name="Standard 12 3" xfId="619"/>
    <cellStyle name="Standard 13" xfId="343"/>
    <cellStyle name="Standard 13 2" xfId="481"/>
    <cellStyle name="Standard 13 2 2" xfId="727"/>
    <cellStyle name="Standard 13 3" xfId="622"/>
    <cellStyle name="Standard 14" xfId="385"/>
    <cellStyle name="Standard 14 2" xfId="523"/>
    <cellStyle name="Standard 14 2 2" xfId="769"/>
    <cellStyle name="Standard 14 3" xfId="664"/>
    <cellStyle name="Standard 15" xfId="399"/>
    <cellStyle name="Standard 15 2" xfId="537"/>
    <cellStyle name="Standard 15 2 2" xfId="783"/>
    <cellStyle name="Standard 15 3" xfId="678"/>
    <cellStyle name="Standard 16" xfId="311"/>
    <cellStyle name="Standard 17" xfId="423"/>
    <cellStyle name="Standard 17 2" xfId="551"/>
    <cellStyle name="Standard 17 2 2" xfId="797"/>
    <cellStyle name="Standard 17 3" xfId="692"/>
    <cellStyle name="Standard 18" xfId="451"/>
    <cellStyle name="Standard 19" xfId="437"/>
    <cellStyle name="Standard 19 2" xfId="706"/>
    <cellStyle name="Standard 2" xfId="81"/>
    <cellStyle name="Standard 2 2" xfId="82"/>
    <cellStyle name="Standard 2 2 2" xfId="92"/>
    <cellStyle name="Standard 2 3" xfId="136"/>
    <cellStyle name="Standard 2 3 2" xfId="231"/>
    <cellStyle name="Standard 2 3 3" xfId="163"/>
    <cellStyle name="Standard 2 3 4" xfId="827"/>
    <cellStyle name="Standard 2 4" xfId="232"/>
    <cellStyle name="Standard 2 5" xfId="233"/>
    <cellStyle name="Standard 2 6" xfId="234"/>
    <cellStyle name="Standard 2 7" xfId="235"/>
    <cellStyle name="Standard 2 7 2" xfId="272"/>
    <cellStyle name="Standard 2 8" xfId="171"/>
    <cellStyle name="Standard 2 8 2" xfId="308"/>
    <cellStyle name="Standard 20" xfId="565"/>
    <cellStyle name="Standard 20 2" xfId="811"/>
    <cellStyle name="Standard 21" xfId="592"/>
    <cellStyle name="Standard 22" xfId="580"/>
    <cellStyle name="Standard 3" xfId="83"/>
    <cellStyle name="Standard 3 2" xfId="93"/>
    <cellStyle name="Standard 3 2 2" xfId="237"/>
    <cellStyle name="Standard 3 2 2 2" xfId="238"/>
    <cellStyle name="Standard 3 2 2 2 2" xfId="239"/>
    <cellStyle name="Standard 3 2 2 2 2 2" xfId="240"/>
    <cellStyle name="Standard 3 2 2 2 2 2 2" xfId="241"/>
    <cellStyle name="Standard 3 2 2 2 3" xfId="242"/>
    <cellStyle name="Standard 3 2 2 3" xfId="243"/>
    <cellStyle name="Standard 3 2 2 3 2" xfId="244"/>
    <cellStyle name="Standard 3 2 3" xfId="245"/>
    <cellStyle name="Standard 3 2 3 2" xfId="246"/>
    <cellStyle name="Standard 3 2 3 2 2" xfId="247"/>
    <cellStyle name="Standard 3 2 4" xfId="248"/>
    <cellStyle name="Standard 3 2 5" xfId="236"/>
    <cellStyle name="Standard 3 3" xfId="162"/>
    <cellStyle name="Standard 3 3 2" xfId="250"/>
    <cellStyle name="Standard 3 3 2 2" xfId="251"/>
    <cellStyle name="Standard 3 3 2 2 2" xfId="252"/>
    <cellStyle name="Standard 3 3 3" xfId="253"/>
    <cellStyle name="Standard 3 3 4" xfId="249"/>
    <cellStyle name="Standard 3 4" xfId="165"/>
    <cellStyle name="Standard 3 4 2" xfId="255"/>
    <cellStyle name="Standard 3 4 3" xfId="254"/>
    <cellStyle name="Standard 4" xfId="84"/>
    <cellStyle name="Standard 4 2" xfId="168"/>
    <cellStyle name="Standard 4 2 2" xfId="256"/>
    <cellStyle name="Standard 4 2 2 2" xfId="257"/>
    <cellStyle name="Standard 4 2 2 2 2" xfId="258"/>
    <cellStyle name="Standard 4 2 3" xfId="259"/>
    <cellStyle name="Standard 4 3" xfId="260"/>
    <cellStyle name="Standard 4 3 2" xfId="261"/>
    <cellStyle name="Standard 4 4" xfId="579"/>
    <cellStyle name="Standard 5" xfId="85"/>
    <cellStyle name="Standard 5 2" xfId="164"/>
    <cellStyle name="Standard 5 2 2" xfId="263"/>
    <cellStyle name="Standard 5 2 3" xfId="262"/>
    <cellStyle name="Standard 6" xfId="86"/>
    <cellStyle name="Standard 6 2" xfId="264"/>
    <cellStyle name="Standard 7" xfId="87"/>
    <cellStyle name="Standard 7 2" xfId="265"/>
    <cellStyle name="Standard 8" xfId="88"/>
    <cellStyle name="Standard 9" xfId="62"/>
    <cellStyle name="Summe" xfId="266"/>
    <cellStyle name="test1" xfId="267"/>
    <cellStyle name="Überschrift" xfId="5" builtinId="15" customBuiltin="1"/>
    <cellStyle name="Überschrift 1" xfId="6" builtinId="16" customBuiltin="1"/>
    <cellStyle name="Überschrift 1 2" xfId="90"/>
    <cellStyle name="Überschrift 1 2 2" xfId="49"/>
    <cellStyle name="Überschrift 1 3" xfId="96"/>
    <cellStyle name="Überschrift 1 3 2" xfId="320"/>
    <cellStyle name="Überschrift 1 4" xfId="413"/>
    <cellStyle name="Überschrift 1 5" xfId="452"/>
    <cellStyle name="Überschrift 1 6" xfId="593"/>
    <cellStyle name="Überschrift 2" xfId="7" builtinId="17" customBuiltin="1"/>
    <cellStyle name="Überschrift 2 2" xfId="89"/>
    <cellStyle name="Überschrift 2 2 2" xfId="52"/>
    <cellStyle name="Überschrift 2 3" xfId="97"/>
    <cellStyle name="Überschrift 2 3 2" xfId="321"/>
    <cellStyle name="Überschrift 2 4" xfId="419"/>
    <cellStyle name="Überschrift 2 5" xfId="453"/>
    <cellStyle name="Überschrift 2 6" xfId="594"/>
    <cellStyle name="Überschrift 3" xfId="8" builtinId="18" customBuiltin="1"/>
    <cellStyle name="Überschrift 3 2" xfId="98"/>
    <cellStyle name="Überschrift 3 2 2" xfId="44"/>
    <cellStyle name="Überschrift 3 2 2 2" xfId="322"/>
    <cellStyle name="Überschrift 3 3" xfId="417"/>
    <cellStyle name="Überschrift 3 4" xfId="454"/>
    <cellStyle name="Überschrift 3 5" xfId="595"/>
    <cellStyle name="Überschrift 4" xfId="9" builtinId="19" customBuiltin="1"/>
    <cellStyle name="Überschrift 4 2" xfId="94"/>
    <cellStyle name="Überschrift 4 2 2" xfId="141"/>
    <cellStyle name="Überschrift 4 3" xfId="99"/>
    <cellStyle name="Überschrift 4 3 2" xfId="323"/>
    <cellStyle name="Überschrift 4 4" xfId="310"/>
    <cellStyle name="Überschrift 4 5" xfId="455"/>
    <cellStyle name="Überschrift 4 6" xfId="596"/>
    <cellStyle name="Undefiniert" xfId="268"/>
    <cellStyle name="verborgen" xfId="269"/>
    <cellStyle name="Verknüpfte Zelle" xfId="14" builtinId="24" customBuiltin="1"/>
    <cellStyle name="Verknüpfte Zelle 2" xfId="106"/>
    <cellStyle name="Verknüpfte Zelle 2 2" xfId="46"/>
    <cellStyle name="Verknüpfte Zelle 2 2 2" xfId="330"/>
    <cellStyle name="Verknüpfte Zelle 3" xfId="318"/>
    <cellStyle name="Verknüpfte Zelle 4" xfId="462"/>
    <cellStyle name="Verknüpfte Zelle 5" xfId="603"/>
    <cellStyle name="Whrung" xfId="270"/>
    <cellStyle name="Währung 2" xfId="166"/>
    <cellStyle name="Warnender Text" xfId="16" builtinId="11" customBuiltin="1"/>
    <cellStyle name="Warnender Text 2" xfId="108"/>
    <cellStyle name="Warnender Text 2 2" xfId="138"/>
    <cellStyle name="Warnender Text 2 2 2" xfId="332"/>
    <cellStyle name="Warnender Text 3" xfId="420"/>
    <cellStyle name="Warnender Text 4" xfId="464"/>
    <cellStyle name="Warnender Text 5" xfId="605"/>
    <cellStyle name="Zelle überprüfen" xfId="15" builtinId="23" customBuiltin="1"/>
    <cellStyle name="Zelle überprüfen 2" xfId="107"/>
    <cellStyle name="Zelle überprüfen 2 2" xfId="157"/>
    <cellStyle name="Zelle überprüfen 2 2 2" xfId="331"/>
    <cellStyle name="Zelle überprüfen 3" xfId="314"/>
    <cellStyle name="Zelle überprüfen 4" xfId="463"/>
    <cellStyle name="Zelle überprüfen 5" xfId="604"/>
  </cellStyles>
  <dxfs count="1">
    <dxf>
      <font>
        <b/>
        <i val="0"/>
        <color theme="1" tint="4.9989318521683403E-2"/>
      </font>
      <fill>
        <patternFill>
          <bgColor rgb="FFFF3F3F"/>
        </patternFill>
      </fill>
    </dxf>
  </dxfs>
  <tableStyles count="0" defaultTableStyle="TableStyleMedium2" defaultPivotStyle="PivotStyleLight16"/>
  <colors>
    <mruColors>
      <color rgb="FFFF3F3F"/>
      <color rgb="FFFF643F"/>
      <color rgb="FFEB857D"/>
      <color rgb="FFCC8E7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7.7272727272727271E-2"/>
          <c:y val="1.4545454545454545E-2"/>
          <c:w val="0.92045454545454541"/>
          <c:h val="0.87272727272727268"/>
        </c:manualLayout>
      </c:layout>
      <c:scatterChart>
        <c:scatterStyle val="lineMarker"/>
        <c:varyColors val="0"/>
        <c:ser>
          <c:idx val="0"/>
          <c:order val="0"/>
          <c:tx>
            <c:strRef>
              <c:f>'Eingabe Parameter'!$H$29</c:f>
              <c:strCache>
                <c:ptCount val="1"/>
                <c:pt idx="0">
                  <c:v>Entwicklung des Leistungsbedarfs gesamt [in %]</c:v>
                </c:pt>
              </c:strCache>
            </c:strRef>
          </c:tx>
          <c:marker>
            <c:symbol val="none"/>
          </c:marker>
          <c:xVal>
            <c:numRef>
              <c:f>'Eingabe Parameter'!$I$31:$K$31</c:f>
              <c:numCache>
                <c:formatCode>General</c:formatCode>
                <c:ptCount val="3"/>
                <c:pt idx="0">
                  <c:v>2015</c:v>
                </c:pt>
                <c:pt idx="1">
                  <c:v>2020</c:v>
                </c:pt>
                <c:pt idx="2">
                  <c:v>2025</c:v>
                </c:pt>
              </c:numCache>
            </c:numRef>
          </c:xVal>
          <c:yVal>
            <c:numRef>
              <c:f>'Eingabe Parameter'!$I$29:$K$29</c:f>
              <c:numCache>
                <c:formatCode>0.00%</c:formatCode>
                <c:ptCount val="3"/>
                <c:pt idx="0" formatCode="0%">
                  <c:v>1</c:v>
                </c:pt>
                <c:pt idx="1">
                  <c:v>0</c:v>
                </c:pt>
                <c:pt idx="2">
                  <c:v>0</c:v>
                </c:pt>
              </c:numCache>
            </c:numRef>
          </c:yVal>
          <c:smooth val="0"/>
        </c:ser>
        <c:ser>
          <c:idx val="1"/>
          <c:order val="1"/>
          <c:tx>
            <c:strRef>
              <c:f>'Eingabe Parameter'!$H$30</c:f>
              <c:strCache>
                <c:ptCount val="1"/>
                <c:pt idx="0">
                  <c:v>Entwicklung des Verbrauchs gesamt [in %]</c:v>
                </c:pt>
              </c:strCache>
            </c:strRef>
          </c:tx>
          <c:marker>
            <c:symbol val="none"/>
          </c:marker>
          <c:xVal>
            <c:numRef>
              <c:f>'Eingabe Parameter'!$I$31:$K$31</c:f>
              <c:numCache>
                <c:formatCode>General</c:formatCode>
                <c:ptCount val="3"/>
                <c:pt idx="0">
                  <c:v>2015</c:v>
                </c:pt>
                <c:pt idx="1">
                  <c:v>2020</c:v>
                </c:pt>
                <c:pt idx="2">
                  <c:v>2025</c:v>
                </c:pt>
              </c:numCache>
            </c:numRef>
          </c:xVal>
          <c:yVal>
            <c:numRef>
              <c:f>'Eingabe Parameter'!$I$30:$K$30</c:f>
              <c:numCache>
                <c:formatCode>0.00%</c:formatCode>
                <c:ptCount val="3"/>
                <c:pt idx="0" formatCode="0%">
                  <c:v>1</c:v>
                </c:pt>
                <c:pt idx="1">
                  <c:v>0</c:v>
                </c:pt>
                <c:pt idx="2">
                  <c:v>0</c:v>
                </c:pt>
              </c:numCache>
            </c:numRef>
          </c:yVal>
          <c:smooth val="0"/>
        </c:ser>
        <c:dLbls>
          <c:showLegendKey val="0"/>
          <c:showVal val="0"/>
          <c:showCatName val="0"/>
          <c:showSerName val="0"/>
          <c:showPercent val="0"/>
          <c:showBubbleSize val="0"/>
        </c:dLbls>
        <c:axId val="85588992"/>
        <c:axId val="107586688"/>
      </c:scatterChart>
      <c:valAx>
        <c:axId val="85588992"/>
        <c:scaling>
          <c:orientation val="minMax"/>
          <c:max val="2025"/>
          <c:min val="2015"/>
        </c:scaling>
        <c:delete val="0"/>
        <c:axPos val="b"/>
        <c:majorGridlines>
          <c:spPr>
            <a:ln w="12700" cmpd="sng">
              <a:solidFill>
                <a:srgbClr val="4B4B4B"/>
              </a:solidFill>
            </a:ln>
          </c:spPr>
        </c:majorGridlines>
        <c:title>
          <c:tx>
            <c:rich>
              <a:bodyPr/>
              <a:lstStyle/>
              <a:p>
                <a:pPr>
                  <a:defRPr sz="1400"/>
                </a:pPr>
                <a:r>
                  <a:rPr lang="de-DE"/>
                  <a:t>Jahr</a:t>
                </a:r>
              </a:p>
            </c:rich>
          </c:tx>
          <c:layout/>
          <c:overlay val="0"/>
        </c:title>
        <c:numFmt formatCode="0" sourceLinked="0"/>
        <c:majorTickMark val="out"/>
        <c:minorTickMark val="none"/>
        <c:tickLblPos val="nextTo"/>
        <c:spPr>
          <a:ln w="22225" cmpd="sng">
            <a:solidFill>
              <a:srgbClr val="4B4B4B"/>
            </a:solidFill>
          </a:ln>
        </c:spPr>
        <c:txPr>
          <a:bodyPr/>
          <a:lstStyle/>
          <a:p>
            <a:pPr>
              <a:defRPr sz="1200"/>
            </a:pPr>
            <a:endParaRPr lang="de-DE"/>
          </a:p>
        </c:txPr>
        <c:crossAx val="107586688"/>
        <c:crosses val="autoZero"/>
        <c:crossBetween val="midCat"/>
        <c:majorUnit val="5"/>
      </c:valAx>
      <c:valAx>
        <c:axId val="107586688"/>
        <c:scaling>
          <c:orientation val="minMax"/>
          <c:min val="0"/>
        </c:scaling>
        <c:delete val="0"/>
        <c:axPos val="l"/>
        <c:majorGridlines>
          <c:spPr>
            <a:ln w="12700" cmpd="sng">
              <a:solidFill>
                <a:srgbClr val="4B4B4B"/>
              </a:solidFill>
            </a:ln>
          </c:spPr>
        </c:majorGridlines>
        <c:minorGridlines>
          <c:spPr>
            <a:ln w="6350" cmpd="sng">
              <a:solidFill>
                <a:srgbClr val="C8C8C8"/>
              </a:solidFill>
            </a:ln>
          </c:spPr>
        </c:minorGridlines>
        <c:numFmt formatCode="0%" sourceLinked="0"/>
        <c:majorTickMark val="out"/>
        <c:minorTickMark val="none"/>
        <c:tickLblPos val="nextTo"/>
        <c:spPr>
          <a:ln w="22225" cmpd="sng">
            <a:solidFill>
              <a:srgbClr val="4B4B4B"/>
            </a:solidFill>
          </a:ln>
        </c:spPr>
        <c:txPr>
          <a:bodyPr/>
          <a:lstStyle/>
          <a:p>
            <a:pPr>
              <a:defRPr sz="1200"/>
            </a:pPr>
            <a:endParaRPr lang="de-DE"/>
          </a:p>
        </c:txPr>
        <c:crossAx val="85588992"/>
        <c:crosses val="autoZero"/>
        <c:crossBetween val="midCat"/>
        <c:majorUnit val="0.2"/>
        <c:minorUnit val="5.000000000000001E-2"/>
      </c:valAx>
      <c:spPr>
        <a:solidFill>
          <a:srgbClr val="FFFFFF"/>
        </a:solidFill>
        <a:ln w="6350" cmpd="sng">
          <a:solidFill>
            <a:srgbClr val="7D7D7D"/>
          </a:solidFill>
        </a:ln>
        <a:effectLst/>
      </c:spPr>
    </c:plotArea>
    <c:legend>
      <c:legendPos val="r"/>
      <c:layout>
        <c:manualLayout>
          <c:xMode val="edge"/>
          <c:yMode val="edge"/>
          <c:x val="0.17690199097615128"/>
          <c:y val="0.5793584238992916"/>
          <c:w val="0.67694711021986675"/>
          <c:h val="0.19009544700379666"/>
        </c:manualLayout>
      </c:layout>
      <c:overlay val="1"/>
      <c:spPr>
        <a:solidFill>
          <a:srgbClr val="FFFFFF"/>
        </a:solidFill>
        <a:ln cmpd="sng">
          <a:solidFill>
            <a:srgbClr val="000000"/>
          </a:solidFill>
        </a:ln>
        <a:effectLst>
          <a:glow>
            <a:srgbClr val="000000"/>
          </a:glow>
          <a:outerShdw blurRad="50800" dist="37357" dir="2700000" rotWithShape="0">
            <a:srgbClr val="000000">
              <a:alpha val="40000"/>
            </a:srgbClr>
          </a:outerShdw>
        </a:effectLst>
      </c:spPr>
      <c:txPr>
        <a:bodyPr/>
        <a:lstStyle/>
        <a:p>
          <a:pPr>
            <a:defRPr sz="1300"/>
          </a:pPr>
          <a:endParaRPr lang="de-DE"/>
        </a:p>
      </c:txPr>
    </c:legend>
    <c:plotVisOnly val="1"/>
    <c:dispBlanksAs val="gap"/>
    <c:showDLblsOverMax val="0"/>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21224051539013"/>
          <c:y val="2.6636506800286328E-2"/>
          <c:w val="0.78987723693629208"/>
          <c:h val="0.71857551896921978"/>
        </c:manualLayout>
      </c:layout>
      <c:scatterChart>
        <c:scatterStyle val="lineMarker"/>
        <c:varyColors val="0"/>
        <c:ser>
          <c:idx val="0"/>
          <c:order val="0"/>
          <c:tx>
            <c:v>Entwicklung der Kapazität</c:v>
          </c:tx>
          <c:marker>
            <c:symbol val="none"/>
          </c:marker>
          <c:xVal>
            <c:numRef>
              <c:f>'Eingabe Parameter'!$O$17:$O$27</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xVal>
          <c:yVal>
            <c:numRef>
              <c:f>'Eingabe Parameter'!$P$31:$P$41</c:f>
              <c:numCache>
                <c:formatCode>0%</c:formatCode>
                <c:ptCount val="11"/>
                <c:pt idx="0">
                  <c:v>1</c:v>
                </c:pt>
                <c:pt idx="1">
                  <c:v>0</c:v>
                </c:pt>
                <c:pt idx="2">
                  <c:v>0</c:v>
                </c:pt>
                <c:pt idx="3">
                  <c:v>0</c:v>
                </c:pt>
                <c:pt idx="4">
                  <c:v>0</c:v>
                </c:pt>
                <c:pt idx="5">
                  <c:v>0</c:v>
                </c:pt>
                <c:pt idx="6">
                  <c:v>0</c:v>
                </c:pt>
                <c:pt idx="7">
                  <c:v>0</c:v>
                </c:pt>
                <c:pt idx="8">
                  <c:v>0</c:v>
                </c:pt>
                <c:pt idx="9">
                  <c:v>0</c:v>
                </c:pt>
                <c:pt idx="10">
                  <c:v>0</c:v>
                </c:pt>
              </c:numCache>
            </c:numRef>
          </c:yVal>
          <c:smooth val="0"/>
        </c:ser>
        <c:dLbls>
          <c:showLegendKey val="0"/>
          <c:showVal val="0"/>
          <c:showCatName val="0"/>
          <c:showSerName val="0"/>
          <c:showPercent val="0"/>
          <c:showBubbleSize val="0"/>
        </c:dLbls>
        <c:axId val="209789696"/>
        <c:axId val="209792384"/>
      </c:scatterChart>
      <c:valAx>
        <c:axId val="209789696"/>
        <c:scaling>
          <c:orientation val="minMax"/>
          <c:max val="2025"/>
          <c:min val="2015"/>
        </c:scaling>
        <c:delete val="0"/>
        <c:axPos val="b"/>
        <c:majorGridlines>
          <c:spPr>
            <a:ln w="12700" cmpd="sng">
              <a:solidFill>
                <a:srgbClr val="4B4B4B"/>
              </a:solidFill>
            </a:ln>
          </c:spPr>
        </c:majorGridlines>
        <c:title>
          <c:tx>
            <c:rich>
              <a:bodyPr/>
              <a:lstStyle/>
              <a:p>
                <a:pPr>
                  <a:defRPr sz="1400"/>
                </a:pPr>
                <a:r>
                  <a:rPr lang="de-DE"/>
                  <a:t>Jahre</a:t>
                </a:r>
              </a:p>
            </c:rich>
          </c:tx>
          <c:layout/>
          <c:overlay val="0"/>
        </c:title>
        <c:numFmt formatCode="General" sourceLinked="1"/>
        <c:majorTickMark val="out"/>
        <c:minorTickMark val="none"/>
        <c:tickLblPos val="nextTo"/>
        <c:spPr>
          <a:ln w="22225" cmpd="sng">
            <a:solidFill>
              <a:srgbClr val="4B4B4B"/>
            </a:solidFill>
          </a:ln>
        </c:spPr>
        <c:txPr>
          <a:bodyPr rot="-2100000"/>
          <a:lstStyle/>
          <a:p>
            <a:pPr>
              <a:defRPr sz="1200"/>
            </a:pPr>
            <a:endParaRPr lang="de-DE"/>
          </a:p>
        </c:txPr>
        <c:crossAx val="209792384"/>
        <c:crosses val="autoZero"/>
        <c:crossBetween val="midCat"/>
        <c:majorUnit val="1"/>
      </c:valAx>
      <c:valAx>
        <c:axId val="209792384"/>
        <c:scaling>
          <c:orientation val="minMax"/>
          <c:min val="0"/>
        </c:scaling>
        <c:delete val="0"/>
        <c:axPos val="l"/>
        <c:majorGridlines>
          <c:spPr>
            <a:ln w="12700" cmpd="sng">
              <a:solidFill>
                <a:srgbClr val="4B4B4B"/>
              </a:solidFill>
            </a:ln>
          </c:spPr>
        </c:majorGridlines>
        <c:minorGridlines>
          <c:spPr>
            <a:ln w="6350" cmpd="sng">
              <a:solidFill>
                <a:srgbClr val="C8C8C8"/>
              </a:solidFill>
            </a:ln>
          </c:spPr>
        </c:minorGridlines>
        <c:title>
          <c:tx>
            <c:rich>
              <a:bodyPr/>
              <a:lstStyle/>
              <a:p>
                <a:pPr>
                  <a:defRPr sz="1400"/>
                </a:pPr>
                <a:r>
                  <a:rPr lang="de-DE"/>
                  <a:t>Prozentuale Entwicklung</a:t>
                </a:r>
              </a:p>
            </c:rich>
          </c:tx>
          <c:layout/>
          <c:overlay val="0"/>
        </c:title>
        <c:numFmt formatCode="0%" sourceLinked="1"/>
        <c:majorTickMark val="out"/>
        <c:minorTickMark val="none"/>
        <c:tickLblPos val="nextTo"/>
        <c:spPr>
          <a:ln w="22225" cmpd="sng">
            <a:solidFill>
              <a:srgbClr val="4B4B4B"/>
            </a:solidFill>
          </a:ln>
        </c:spPr>
        <c:txPr>
          <a:bodyPr/>
          <a:lstStyle/>
          <a:p>
            <a:pPr>
              <a:defRPr sz="1200"/>
            </a:pPr>
            <a:endParaRPr lang="de-DE"/>
          </a:p>
        </c:txPr>
        <c:crossAx val="209789696"/>
        <c:crosses val="autoZero"/>
        <c:crossBetween val="midCat"/>
        <c:majorUnit val="0.2"/>
        <c:minorUnit val="5.000000000000001E-2"/>
      </c:valAx>
      <c:spPr>
        <a:solidFill>
          <a:srgbClr val="FFFFFF"/>
        </a:solidFill>
        <a:ln w="6350" cmpd="sng">
          <a:solidFill>
            <a:srgbClr val="7D7D7D"/>
          </a:solidFill>
        </a:ln>
        <a:effectLst/>
      </c:spPr>
    </c:plotArea>
    <c:legend>
      <c:legendPos val="r"/>
      <c:layout>
        <c:manualLayout>
          <c:xMode val="edge"/>
          <c:yMode val="edge"/>
          <c:x val="0.19621564065855404"/>
          <c:y val="0.62300014316392271"/>
          <c:w val="0.52503525411596275"/>
          <c:h val="7.8950035790980672E-2"/>
        </c:manualLayout>
      </c:layout>
      <c:overlay val="1"/>
      <c:spPr>
        <a:solidFill>
          <a:srgbClr val="FFFFFF"/>
        </a:solidFill>
        <a:ln cmpd="sng">
          <a:solidFill>
            <a:srgbClr val="000000"/>
          </a:solidFill>
        </a:ln>
        <a:effectLst>
          <a:glow>
            <a:srgbClr val="000000"/>
          </a:glow>
          <a:outerShdw blurRad="50800" dist="37357" dir="2700000" rotWithShape="0">
            <a:srgbClr val="000000">
              <a:alpha val="40000"/>
            </a:srgbClr>
          </a:outerShdw>
        </a:effectLst>
      </c:spPr>
      <c:txPr>
        <a:bodyPr/>
        <a:lstStyle/>
        <a:p>
          <a:pPr>
            <a:defRPr sz="1300"/>
          </a:pPr>
          <a:endParaRPr lang="de-DE"/>
        </a:p>
      </c:txPr>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8740157499999996" l="0.7" r="0.7" t="0.78740157499999996" header="0.3" footer="0.3"/>
    <c:pageSetup/>
  </c:printSettings>
</c:chartSpace>
</file>

<file path=xl/ctrlProps/ctrlProp1.xml><?xml version="1.0" encoding="utf-8"?>
<formControlPr xmlns="http://schemas.microsoft.com/office/spreadsheetml/2009/9/main" objectType="Drop" dropLines="3" dropStyle="combo" dx="16" fmlaLink="aus_Eingabeparameter!$G$34" fmlaRange="aus_Eingabeparameter!$H$29:$H$31" noThreeD="1"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26747</xdr:colOff>
      <xdr:row>65</xdr:row>
      <xdr:rowOff>257175</xdr:rowOff>
    </xdr:from>
    <xdr:to>
      <xdr:col>1</xdr:col>
      <xdr:colOff>3295650</xdr:colOff>
      <xdr:row>65</xdr:row>
      <xdr:rowOff>1057275</xdr:rowOff>
    </xdr:to>
    <xdr:pic>
      <xdr:nvPicPr>
        <xdr:cNvPr id="4" name="Grafik 3"/>
        <xdr:cNvPicPr>
          <a:picLocks noChangeAspect="1"/>
        </xdr:cNvPicPr>
      </xdr:nvPicPr>
      <xdr:blipFill>
        <a:blip xmlns:r="http://schemas.openxmlformats.org/officeDocument/2006/relationships" r:embed="rId1"/>
        <a:stretch>
          <a:fillRect/>
        </a:stretch>
      </xdr:blipFill>
      <xdr:spPr>
        <a:xfrm>
          <a:off x="188672" y="30222825"/>
          <a:ext cx="3268903" cy="800100"/>
        </a:xfrm>
        <a:prstGeom prst="rect">
          <a:avLst/>
        </a:prstGeom>
      </xdr:spPr>
    </xdr:pic>
    <xdr:clientData/>
  </xdr:twoCellAnchor>
  <xdr:twoCellAnchor editAs="oneCell">
    <xdr:from>
      <xdr:col>2</xdr:col>
      <xdr:colOff>2914649</xdr:colOff>
      <xdr:row>0</xdr:row>
      <xdr:rowOff>76201</xdr:rowOff>
    </xdr:from>
    <xdr:to>
      <xdr:col>2</xdr:col>
      <xdr:colOff>5632712</xdr:colOff>
      <xdr:row>2</xdr:row>
      <xdr:rowOff>139472</xdr:rowOff>
    </xdr:to>
    <xdr:pic>
      <xdr:nvPicPr>
        <xdr:cNvPr id="2" name="Grafik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53374" y="76201"/>
          <a:ext cx="2718063" cy="491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23</xdr:row>
          <xdr:rowOff>19050</xdr:rowOff>
        </xdr:from>
        <xdr:to>
          <xdr:col>3</xdr:col>
          <xdr:colOff>3343275</xdr:colOff>
          <xdr:row>24</xdr:row>
          <xdr:rowOff>9525</xdr:rowOff>
        </xdr:to>
        <xdr:sp macro="" textlink="">
          <xdr:nvSpPr>
            <xdr:cNvPr id="1034" name="Drop Down 10" hidden="1">
              <a:extLst>
                <a:ext uri="{63B3BB69-23CF-44E3-9099-C40C66FF867C}">
                  <a14:compatExt spid="_x0000_s1034"/>
                </a:ext>
              </a:extLst>
            </xdr:cNvPr>
            <xdr:cNvSpPr/>
          </xdr:nvSpPr>
          <xdr:spPr>
            <a:xfrm>
              <a:off x="0" y="0"/>
              <a:ext cx="0" cy="0"/>
            </a:xfrm>
            <a:prstGeom prst="rect">
              <a:avLst/>
            </a:prstGeom>
          </xdr:spPr>
        </xdr:sp>
        <xdr:clientData fLocksWithSheet="0"/>
      </xdr:twoCellAnchor>
    </mc:Choice>
    <mc:Fallback/>
  </mc:AlternateContent>
  <xdr:twoCellAnchor editAs="absolute">
    <xdr:from>
      <xdr:col>7</xdr:col>
      <xdr:colOff>431585</xdr:colOff>
      <xdr:row>32</xdr:row>
      <xdr:rowOff>3922</xdr:rowOff>
    </xdr:from>
    <xdr:to>
      <xdr:col>10</xdr:col>
      <xdr:colOff>716403</xdr:colOff>
      <xdr:row>50</xdr:row>
      <xdr:rowOff>18116</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15</xdr:col>
      <xdr:colOff>162087</xdr:colOff>
      <xdr:row>29</xdr:row>
      <xdr:rowOff>73398</xdr:rowOff>
    </xdr:from>
    <xdr:to>
      <xdr:col>17</xdr:col>
      <xdr:colOff>1805616</xdr:colOff>
      <xdr:row>47</xdr:row>
      <xdr:rowOff>103280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5</xdr:col>
      <xdr:colOff>149681</xdr:colOff>
      <xdr:row>12</xdr:row>
      <xdr:rowOff>95250</xdr:rowOff>
    </xdr:from>
    <xdr:to>
      <xdr:col>5</xdr:col>
      <xdr:colOff>938895</xdr:colOff>
      <xdr:row>21</xdr:row>
      <xdr:rowOff>95250</xdr:rowOff>
    </xdr:to>
    <xdr:sp macro="" textlink="">
      <xdr:nvSpPr>
        <xdr:cNvPr id="4" name="Pfeil nach rechts 3"/>
        <xdr:cNvSpPr/>
      </xdr:nvSpPr>
      <xdr:spPr>
        <a:xfrm>
          <a:off x="6939645" y="2449286"/>
          <a:ext cx="789214" cy="1714500"/>
        </a:xfrm>
        <a:prstGeom prst="rightArrow">
          <a:avLst/>
        </a:prstGeom>
        <a:solidFill>
          <a:schemeClr val="accent6">
            <a:lumMod val="40000"/>
            <a:lumOff val="6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166009</xdr:colOff>
      <xdr:row>12</xdr:row>
      <xdr:rowOff>179615</xdr:rowOff>
    </xdr:from>
    <xdr:to>
      <xdr:col>12</xdr:col>
      <xdr:colOff>955223</xdr:colOff>
      <xdr:row>21</xdr:row>
      <xdr:rowOff>179615</xdr:rowOff>
    </xdr:to>
    <xdr:sp macro="" textlink="">
      <xdr:nvSpPr>
        <xdr:cNvPr id="6" name="Pfeil nach rechts 5"/>
        <xdr:cNvSpPr/>
      </xdr:nvSpPr>
      <xdr:spPr>
        <a:xfrm>
          <a:off x="15596509" y="2533651"/>
          <a:ext cx="789214" cy="1714500"/>
        </a:xfrm>
        <a:prstGeom prst="rightArrow">
          <a:avLst/>
        </a:prstGeom>
        <a:solidFill>
          <a:schemeClr val="accent6">
            <a:lumMod val="40000"/>
            <a:lumOff val="6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67"/>
  <sheetViews>
    <sheetView tabSelected="1" workbookViewId="0">
      <selection activeCell="B2" sqref="B2"/>
    </sheetView>
  </sheetViews>
  <sheetFormatPr baseColWidth="10" defaultColWidth="0" defaultRowHeight="15" zeroHeight="1"/>
  <cols>
    <col min="1" max="1" width="2.42578125" style="50" customWidth="1"/>
    <col min="2" max="2" width="73.140625" style="50" customWidth="1"/>
    <col min="3" max="3" width="85" style="50" customWidth="1"/>
    <col min="4" max="4" width="2" style="50" customWidth="1"/>
    <col min="5" max="16384" width="11.42578125" style="50" hidden="1"/>
  </cols>
  <sheetData>
    <row r="1" spans="1:3">
      <c r="A1" s="60"/>
      <c r="B1" s="145"/>
      <c r="C1" s="62"/>
    </row>
    <row r="2" spans="1:3" ht="18.75">
      <c r="A2" s="63"/>
      <c r="B2" s="168" t="s">
        <v>43</v>
      </c>
      <c r="C2" s="124"/>
    </row>
    <row r="3" spans="1:3">
      <c r="A3" s="63"/>
      <c r="B3" s="49"/>
      <c r="C3" s="64"/>
    </row>
    <row r="4" spans="1:3" ht="159.75" customHeight="1">
      <c r="A4" s="63"/>
      <c r="B4" s="169" t="s">
        <v>170</v>
      </c>
      <c r="C4" s="170"/>
    </row>
    <row r="5" spans="1:3" ht="215.25" customHeight="1">
      <c r="A5" s="63"/>
      <c r="B5" s="169" t="s">
        <v>172</v>
      </c>
      <c r="C5" s="170"/>
    </row>
    <row r="6" spans="1:3">
      <c r="A6" s="63"/>
      <c r="B6" s="49"/>
      <c r="C6" s="64"/>
    </row>
    <row r="7" spans="1:3">
      <c r="A7" s="63"/>
      <c r="B7" s="49"/>
      <c r="C7" s="64"/>
    </row>
    <row r="8" spans="1:3" ht="15.75">
      <c r="A8" s="63"/>
      <c r="B8" s="56" t="s">
        <v>45</v>
      </c>
      <c r="C8" s="64"/>
    </row>
    <row r="9" spans="1:3">
      <c r="A9" s="63"/>
      <c r="B9" s="53"/>
      <c r="C9" s="64"/>
    </row>
    <row r="10" spans="1:3">
      <c r="A10" s="63"/>
      <c r="B10" s="54" t="s">
        <v>32</v>
      </c>
      <c r="C10" s="64"/>
    </row>
    <row r="11" spans="1:3">
      <c r="A11" s="63"/>
      <c r="B11" s="74" t="s">
        <v>11</v>
      </c>
      <c r="C11" s="64"/>
    </row>
    <row r="12" spans="1:3">
      <c r="A12" s="63"/>
      <c r="B12" s="72" t="s">
        <v>44</v>
      </c>
      <c r="C12" s="64"/>
    </row>
    <row r="13" spans="1:3">
      <c r="A13" s="63"/>
      <c r="B13" s="73" t="s">
        <v>14</v>
      </c>
      <c r="C13" s="64"/>
    </row>
    <row r="14" spans="1:3">
      <c r="A14" s="63"/>
      <c r="B14" s="138" t="s">
        <v>134</v>
      </c>
      <c r="C14" s="64"/>
    </row>
    <row r="15" spans="1:3">
      <c r="A15" s="63"/>
      <c r="B15" s="49"/>
      <c r="C15" s="64"/>
    </row>
    <row r="16" spans="1:3">
      <c r="A16" s="63"/>
      <c r="B16" s="49"/>
      <c r="C16" s="64"/>
    </row>
    <row r="17" spans="1:3" ht="15.75">
      <c r="A17" s="63"/>
      <c r="B17" s="51" t="s">
        <v>50</v>
      </c>
      <c r="C17" s="64"/>
    </row>
    <row r="18" spans="1:3">
      <c r="A18" s="63"/>
      <c r="B18" s="53"/>
      <c r="C18" s="64"/>
    </row>
    <row r="19" spans="1:3" ht="15.75">
      <c r="A19" s="63"/>
      <c r="B19" s="57" t="s">
        <v>0</v>
      </c>
      <c r="C19" s="65" t="s">
        <v>51</v>
      </c>
    </row>
    <row r="20" spans="1:3" ht="30">
      <c r="A20" s="63"/>
      <c r="B20" s="139" t="s">
        <v>77</v>
      </c>
      <c r="C20" s="66" t="s">
        <v>46</v>
      </c>
    </row>
    <row r="21" spans="1:3" ht="30">
      <c r="A21" s="63"/>
      <c r="B21" s="139" t="s">
        <v>140</v>
      </c>
      <c r="C21" s="66" t="s">
        <v>142</v>
      </c>
    </row>
    <row r="22" spans="1:3" ht="30">
      <c r="A22" s="63"/>
      <c r="B22" s="139" t="s">
        <v>75</v>
      </c>
      <c r="C22" s="66" t="s">
        <v>139</v>
      </c>
    </row>
    <row r="23" spans="1:3" ht="30">
      <c r="A23" s="63"/>
      <c r="B23" s="139" t="s">
        <v>144</v>
      </c>
      <c r="C23" s="66" t="s">
        <v>145</v>
      </c>
    </row>
    <row r="24" spans="1:3">
      <c r="A24" s="63"/>
      <c r="B24" s="49"/>
      <c r="C24" s="64"/>
    </row>
    <row r="25" spans="1:3" ht="60">
      <c r="A25" s="63"/>
      <c r="B25" s="139" t="s">
        <v>73</v>
      </c>
      <c r="C25" s="66" t="s">
        <v>143</v>
      </c>
    </row>
    <row r="26" spans="1:3" ht="30">
      <c r="A26" s="63"/>
      <c r="B26" s="139" t="s">
        <v>110</v>
      </c>
      <c r="C26" s="66" t="s">
        <v>60</v>
      </c>
    </row>
    <row r="27" spans="1:3" ht="45">
      <c r="A27" s="63"/>
      <c r="B27" s="139" t="s">
        <v>146</v>
      </c>
      <c r="C27" s="66" t="s">
        <v>61</v>
      </c>
    </row>
    <row r="28" spans="1:3">
      <c r="A28" s="63"/>
      <c r="B28" s="49"/>
      <c r="C28" s="64"/>
    </row>
    <row r="29" spans="1:3" ht="150">
      <c r="A29" s="63"/>
      <c r="B29" s="139" t="s">
        <v>141</v>
      </c>
      <c r="C29" s="66" t="s">
        <v>147</v>
      </c>
    </row>
    <row r="30" spans="1:3">
      <c r="A30" s="63"/>
      <c r="B30" s="49"/>
      <c r="C30" s="64"/>
    </row>
    <row r="31" spans="1:3" ht="60">
      <c r="A31" s="63"/>
      <c r="B31" s="139" t="s">
        <v>67</v>
      </c>
      <c r="C31" s="66" t="s">
        <v>148</v>
      </c>
    </row>
    <row r="32" spans="1:3">
      <c r="A32" s="63"/>
      <c r="B32" s="49"/>
      <c r="C32" s="64"/>
    </row>
    <row r="33" spans="1:3" ht="60">
      <c r="A33" s="63"/>
      <c r="B33" s="139" t="s">
        <v>78</v>
      </c>
      <c r="C33" s="66" t="s">
        <v>150</v>
      </c>
    </row>
    <row r="34" spans="1:3" ht="60">
      <c r="A34" s="63"/>
      <c r="B34" s="139" t="s">
        <v>68</v>
      </c>
      <c r="C34" s="66" t="s">
        <v>165</v>
      </c>
    </row>
    <row r="35" spans="1:3">
      <c r="A35" s="63"/>
      <c r="B35" s="49"/>
      <c r="C35" s="64"/>
    </row>
    <row r="36" spans="1:3">
      <c r="A36" s="63"/>
      <c r="B36" s="49"/>
      <c r="C36" s="64"/>
    </row>
    <row r="37" spans="1:3" ht="60">
      <c r="A37" s="63"/>
      <c r="B37" s="139" t="s">
        <v>71</v>
      </c>
      <c r="C37" s="66" t="s">
        <v>168</v>
      </c>
    </row>
    <row r="38" spans="1:3">
      <c r="A38" s="63"/>
      <c r="B38" s="139" t="s">
        <v>72</v>
      </c>
      <c r="C38" s="66" t="s">
        <v>47</v>
      </c>
    </row>
    <row r="39" spans="1:3" ht="30">
      <c r="A39" s="63"/>
      <c r="B39" s="139" t="s">
        <v>154</v>
      </c>
      <c r="C39" s="66" t="s">
        <v>153</v>
      </c>
    </row>
    <row r="40" spans="1:3">
      <c r="A40" s="63"/>
      <c r="B40" s="49"/>
      <c r="C40" s="64"/>
    </row>
    <row r="41" spans="1:3" ht="45">
      <c r="A41" s="63"/>
      <c r="B41" s="140" t="s">
        <v>151</v>
      </c>
      <c r="C41" s="66" t="s">
        <v>155</v>
      </c>
    </row>
    <row r="42" spans="1:3">
      <c r="A42" s="63"/>
      <c r="B42" s="53"/>
      <c r="C42" s="141"/>
    </row>
    <row r="43" spans="1:3" ht="30">
      <c r="A43" s="63"/>
      <c r="B43" s="139" t="s">
        <v>79</v>
      </c>
      <c r="C43" s="66" t="s">
        <v>48</v>
      </c>
    </row>
    <row r="44" spans="1:3">
      <c r="A44" s="63"/>
      <c r="B44" s="49"/>
      <c r="C44" s="64"/>
    </row>
    <row r="45" spans="1:3">
      <c r="A45" s="63"/>
      <c r="B45" s="49"/>
      <c r="C45" s="64"/>
    </row>
    <row r="46" spans="1:3" ht="15.75">
      <c r="A46" s="63"/>
      <c r="B46" s="51" t="s">
        <v>49</v>
      </c>
      <c r="C46" s="64"/>
    </row>
    <row r="47" spans="1:3">
      <c r="A47" s="63"/>
      <c r="B47" s="49"/>
      <c r="C47" s="64"/>
    </row>
    <row r="48" spans="1:3" ht="195">
      <c r="A48" s="63"/>
      <c r="B48" s="139" t="s">
        <v>156</v>
      </c>
      <c r="C48" s="66" t="s">
        <v>157</v>
      </c>
    </row>
    <row r="49" spans="1:3" ht="90">
      <c r="A49" s="63"/>
      <c r="B49" s="139" t="s">
        <v>126</v>
      </c>
      <c r="C49" s="66" t="s">
        <v>135</v>
      </c>
    </row>
    <row r="50" spans="1:3">
      <c r="A50" s="63"/>
      <c r="B50" s="49"/>
      <c r="C50" s="64"/>
    </row>
    <row r="51" spans="1:3" ht="90.75" customHeight="1">
      <c r="A51" s="63"/>
      <c r="B51" s="139" t="s">
        <v>127</v>
      </c>
      <c r="C51" s="66" t="s">
        <v>138</v>
      </c>
    </row>
    <row r="52" spans="1:3">
      <c r="A52" s="63"/>
      <c r="B52" s="49"/>
      <c r="C52" s="64"/>
    </row>
    <row r="53" spans="1:3" ht="135.75" customHeight="1">
      <c r="A53" s="63"/>
      <c r="B53" s="139" t="s">
        <v>81</v>
      </c>
      <c r="C53" s="66" t="s">
        <v>173</v>
      </c>
    </row>
    <row r="54" spans="1:3">
      <c r="A54" s="63"/>
      <c r="B54" s="49"/>
      <c r="C54" s="64"/>
    </row>
    <row r="55" spans="1:3" ht="60">
      <c r="A55" s="63"/>
      <c r="B55" s="139" t="s">
        <v>124</v>
      </c>
      <c r="C55" s="66" t="s">
        <v>63</v>
      </c>
    </row>
    <row r="56" spans="1:3">
      <c r="A56" s="63"/>
      <c r="B56" s="49"/>
      <c r="C56" s="64"/>
    </row>
    <row r="57" spans="1:3" ht="60">
      <c r="A57" s="63"/>
      <c r="B57" s="139" t="s">
        <v>162</v>
      </c>
      <c r="C57" s="66" t="s">
        <v>62</v>
      </c>
    </row>
    <row r="58" spans="1:3">
      <c r="A58" s="63"/>
      <c r="B58" s="53"/>
      <c r="C58" s="141"/>
    </row>
    <row r="59" spans="1:3" ht="30">
      <c r="A59" s="63"/>
      <c r="B59" s="139" t="s">
        <v>83</v>
      </c>
      <c r="C59" s="66" t="s">
        <v>136</v>
      </c>
    </row>
    <row r="60" spans="1:3" ht="30.75" thickBot="1">
      <c r="A60" s="63"/>
      <c r="B60" s="142" t="s">
        <v>84</v>
      </c>
      <c r="C60" s="68" t="s">
        <v>137</v>
      </c>
    </row>
    <row r="61" spans="1:3">
      <c r="A61" s="63"/>
      <c r="B61" s="49"/>
      <c r="C61" s="64"/>
    </row>
    <row r="62" spans="1:3" ht="194.25" customHeight="1" thickBot="1">
      <c r="A62" s="63"/>
      <c r="B62" s="142" t="s">
        <v>161</v>
      </c>
      <c r="C62" s="68" t="s">
        <v>169</v>
      </c>
    </row>
    <row r="63" spans="1:3">
      <c r="A63" s="63"/>
      <c r="B63" s="49"/>
      <c r="C63" s="64"/>
    </row>
    <row r="64" spans="1:3" ht="90.75" thickBot="1">
      <c r="A64" s="63"/>
      <c r="B64" s="142" t="s">
        <v>163</v>
      </c>
      <c r="C64" s="68" t="s">
        <v>164</v>
      </c>
    </row>
    <row r="65" spans="1:3">
      <c r="A65" s="63"/>
      <c r="B65" s="49"/>
      <c r="C65" s="64"/>
    </row>
    <row r="66" spans="1:3" ht="105.75" thickBot="1">
      <c r="A66" s="67"/>
      <c r="B66" s="164" t="s">
        <v>171</v>
      </c>
      <c r="C66" s="68" t="s">
        <v>167</v>
      </c>
    </row>
    <row r="67" spans="1:3"/>
  </sheetData>
  <sheetProtection password="B7E3" sheet="1" objects="1" scenarios="1"/>
  <mergeCells count="2">
    <mergeCell ref="B5:C5"/>
    <mergeCell ref="B4:C4"/>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00B050"/>
  </sheetPr>
  <dimension ref="A1:U80"/>
  <sheetViews>
    <sheetView zoomScale="85" zoomScaleNormal="85" workbookViewId="0">
      <selection activeCell="D28" sqref="D28"/>
    </sheetView>
  </sheetViews>
  <sheetFormatPr baseColWidth="10" defaultColWidth="0" defaultRowHeight="15" zeroHeight="1"/>
  <cols>
    <col min="1" max="1" width="2.140625" style="76" customWidth="1"/>
    <col min="2" max="2" width="3.42578125" style="76" customWidth="1"/>
    <col min="3" max="3" width="73.28515625" style="76" bestFit="1" customWidth="1"/>
    <col min="4" max="4" width="50.28515625" style="76" customWidth="1"/>
    <col min="5" max="5" width="3.140625" style="76" customWidth="1"/>
    <col min="6" max="6" width="15.7109375" style="76" customWidth="1"/>
    <col min="7" max="7" width="3.28515625" style="76" customWidth="1"/>
    <col min="8" max="8" width="46.140625" style="76" bestFit="1" customWidth="1"/>
    <col min="9" max="11" width="16.5703125" style="76" customWidth="1"/>
    <col min="12" max="12" width="3.42578125" style="76" customWidth="1"/>
    <col min="13" max="13" width="15.7109375" style="76" customWidth="1"/>
    <col min="14" max="14" width="3.5703125" style="76" customWidth="1"/>
    <col min="15" max="15" width="11.42578125" style="76" customWidth="1"/>
    <col min="16" max="19" width="29.5703125" style="76" customWidth="1"/>
    <col min="20" max="20" width="11.42578125" style="76" customWidth="1"/>
    <col min="21" max="21" width="1.7109375" style="76" customWidth="1"/>
    <col min="22" max="16384" width="11.42578125" style="76" hidden="1"/>
  </cols>
  <sheetData>
    <row r="1" spans="1:20" ht="6.75" customHeight="1">
      <c r="A1" s="75"/>
      <c r="B1" s="75"/>
      <c r="C1" s="75"/>
      <c r="D1" s="75"/>
      <c r="E1" s="75"/>
      <c r="F1" s="75"/>
      <c r="G1" s="75"/>
      <c r="H1" s="75"/>
      <c r="I1" s="75"/>
      <c r="J1" s="75"/>
    </row>
    <row r="2" spans="1:20" ht="6.75" customHeight="1" thickBot="1">
      <c r="A2" s="75"/>
      <c r="D2" s="75"/>
      <c r="E2" s="75"/>
      <c r="F2" s="75"/>
      <c r="G2" s="75"/>
      <c r="H2" s="75"/>
      <c r="I2" s="75"/>
      <c r="J2" s="75"/>
    </row>
    <row r="3" spans="1:20" ht="15.75">
      <c r="A3" s="75"/>
      <c r="B3" s="97"/>
      <c r="C3" s="98" t="s">
        <v>64</v>
      </c>
      <c r="D3" s="146"/>
      <c r="E3" s="100"/>
      <c r="G3" s="161" t="s">
        <v>166</v>
      </c>
      <c r="H3" s="162"/>
      <c r="I3" s="162"/>
      <c r="J3" s="162"/>
      <c r="K3" s="162"/>
      <c r="L3" s="163"/>
    </row>
    <row r="4" spans="1:20">
      <c r="A4" s="75"/>
      <c r="B4" s="101"/>
      <c r="C4" s="102"/>
      <c r="D4" s="102"/>
      <c r="E4" s="103"/>
      <c r="G4" s="77"/>
      <c r="H4" s="78"/>
      <c r="I4" s="78"/>
      <c r="J4" s="78"/>
      <c r="K4" s="78"/>
      <c r="L4" s="79"/>
    </row>
    <row r="5" spans="1:20">
      <c r="A5" s="75"/>
      <c r="B5" s="101"/>
      <c r="C5" s="147" t="s">
        <v>32</v>
      </c>
      <c r="D5" s="102"/>
      <c r="E5" s="103"/>
      <c r="G5" s="77"/>
      <c r="H5" s="78"/>
      <c r="I5" s="78"/>
      <c r="J5" s="78"/>
      <c r="K5" s="78"/>
      <c r="L5" s="79"/>
    </row>
    <row r="6" spans="1:20">
      <c r="A6" s="75"/>
      <c r="B6" s="101"/>
      <c r="C6" s="148" t="s">
        <v>11</v>
      </c>
      <c r="D6" s="102"/>
      <c r="E6" s="103"/>
      <c r="F6" s="80"/>
      <c r="G6" s="77"/>
      <c r="H6" s="78"/>
      <c r="I6" s="78"/>
      <c r="J6" s="78"/>
      <c r="K6" s="78"/>
      <c r="L6" s="79"/>
    </row>
    <row r="7" spans="1:20">
      <c r="A7" s="75"/>
      <c r="B7" s="101"/>
      <c r="C7" s="149" t="s">
        <v>44</v>
      </c>
      <c r="D7" s="102"/>
      <c r="E7" s="103"/>
      <c r="G7" s="77"/>
      <c r="H7" s="78"/>
      <c r="I7" s="78"/>
      <c r="J7" s="78"/>
      <c r="K7" s="78"/>
      <c r="L7" s="79"/>
    </row>
    <row r="8" spans="1:20">
      <c r="A8" s="75"/>
      <c r="B8" s="101"/>
      <c r="C8" s="150" t="s">
        <v>14</v>
      </c>
      <c r="D8" s="102"/>
      <c r="E8" s="103"/>
      <c r="G8" s="77"/>
      <c r="H8" s="78"/>
      <c r="I8" s="78"/>
      <c r="J8" s="78"/>
      <c r="K8" s="78"/>
      <c r="L8" s="79"/>
    </row>
    <row r="9" spans="1:20">
      <c r="A9" s="75"/>
      <c r="B9" s="101"/>
      <c r="C9" s="95" t="s">
        <v>134</v>
      </c>
      <c r="D9" s="102"/>
      <c r="E9" s="103"/>
      <c r="G9" s="77"/>
      <c r="H9" s="78"/>
      <c r="I9" s="78"/>
      <c r="J9" s="78"/>
      <c r="K9" s="78"/>
      <c r="L9" s="79"/>
    </row>
    <row r="10" spans="1:20" ht="15.75" thickBot="1">
      <c r="A10" s="75"/>
      <c r="B10" s="151"/>
      <c r="C10" s="109"/>
      <c r="D10" s="109"/>
      <c r="E10" s="111"/>
      <c r="G10" s="81"/>
      <c r="H10" s="82"/>
      <c r="I10" s="82"/>
      <c r="J10" s="82"/>
      <c r="K10" s="82"/>
      <c r="L10" s="83"/>
    </row>
    <row r="11" spans="1:20" ht="15.75" thickBot="1">
      <c r="A11" s="75"/>
    </row>
    <row r="12" spans="1:20" ht="15.75">
      <c r="A12" s="75"/>
      <c r="B12" s="97"/>
      <c r="C12" s="98" t="s">
        <v>55</v>
      </c>
      <c r="D12" s="98" t="s">
        <v>7</v>
      </c>
      <c r="E12" s="152"/>
      <c r="G12" s="97"/>
      <c r="H12" s="98" t="s">
        <v>65</v>
      </c>
      <c r="I12" s="98"/>
      <c r="J12" s="99" t="s">
        <v>149</v>
      </c>
      <c r="K12" s="99"/>
      <c r="L12" s="100"/>
      <c r="N12" s="97"/>
      <c r="O12" s="98" t="s">
        <v>89</v>
      </c>
      <c r="P12" s="98"/>
      <c r="Q12" s="99"/>
      <c r="R12" s="99"/>
      <c r="S12" s="99"/>
      <c r="T12" s="100"/>
    </row>
    <row r="13" spans="1:20">
      <c r="A13" s="75"/>
      <c r="B13" s="101"/>
      <c r="C13" s="105"/>
      <c r="D13" s="105"/>
      <c r="E13" s="153"/>
      <c r="G13" s="101"/>
      <c r="H13" s="102"/>
      <c r="I13" s="102"/>
      <c r="J13" s="102"/>
      <c r="K13" s="102"/>
      <c r="L13" s="103"/>
      <c r="N13" s="101"/>
      <c r="O13" s="102"/>
      <c r="P13" s="118"/>
      <c r="Q13" s="171" t="s">
        <v>131</v>
      </c>
      <c r="R13" s="171" t="s">
        <v>88</v>
      </c>
      <c r="S13" s="102"/>
      <c r="T13" s="103"/>
    </row>
    <row r="14" spans="1:20">
      <c r="A14" s="75"/>
      <c r="B14" s="101"/>
      <c r="C14" s="105" t="s">
        <v>77</v>
      </c>
      <c r="D14" s="85">
        <f>SUM(D15:D16)</f>
        <v>132443.93509397603</v>
      </c>
      <c r="E14" s="153"/>
      <c r="G14" s="101"/>
      <c r="H14" s="102"/>
      <c r="I14" s="104" t="s">
        <v>4</v>
      </c>
      <c r="J14" s="104">
        <v>2020</v>
      </c>
      <c r="K14" s="104">
        <v>2025</v>
      </c>
      <c r="L14" s="103"/>
      <c r="N14" s="101"/>
      <c r="O14" s="102"/>
      <c r="P14" s="118"/>
      <c r="Q14" s="172"/>
      <c r="R14" s="172"/>
      <c r="S14" s="102"/>
      <c r="T14" s="103"/>
    </row>
    <row r="15" spans="1:20">
      <c r="A15" s="75"/>
      <c r="B15" s="101"/>
      <c r="C15" s="105" t="s">
        <v>74</v>
      </c>
      <c r="D15" s="85">
        <v>95443.06703397604</v>
      </c>
      <c r="E15" s="153"/>
      <c r="G15" s="101"/>
      <c r="H15" s="102"/>
      <c r="I15" s="105"/>
      <c r="J15" s="105"/>
      <c r="K15" s="105"/>
      <c r="L15" s="103"/>
      <c r="N15" s="101"/>
      <c r="O15" s="119" t="s">
        <v>52</v>
      </c>
      <c r="P15" s="120" t="s">
        <v>53</v>
      </c>
      <c r="Q15" s="172"/>
      <c r="R15" s="172"/>
      <c r="S15" s="120" t="s">
        <v>54</v>
      </c>
      <c r="T15" s="103"/>
    </row>
    <row r="16" spans="1:20">
      <c r="A16" s="75"/>
      <c r="B16" s="101"/>
      <c r="C16" s="105" t="s">
        <v>75</v>
      </c>
      <c r="D16" s="165">
        <v>37000.868060000001</v>
      </c>
      <c r="E16" s="153"/>
      <c r="G16" s="101"/>
      <c r="H16" s="102" t="s">
        <v>77</v>
      </c>
      <c r="I16" s="106">
        <f>D14</f>
        <v>132443.93509397603</v>
      </c>
      <c r="J16" s="106" t="str">
        <f>aus_Eingabeparameter!C3</f>
        <v/>
      </c>
      <c r="K16" s="106" t="str">
        <f>aus_Eingabeparameter!D3</f>
        <v/>
      </c>
      <c r="L16" s="103"/>
      <c r="N16" s="101"/>
      <c r="O16" s="119"/>
      <c r="P16" s="120" t="s">
        <v>58</v>
      </c>
      <c r="Q16" s="120" t="s">
        <v>58</v>
      </c>
      <c r="R16" s="120" t="s">
        <v>58</v>
      </c>
      <c r="S16" s="120" t="s">
        <v>58</v>
      </c>
      <c r="T16" s="103"/>
    </row>
    <row r="17" spans="1:20">
      <c r="A17" s="75"/>
      <c r="B17" s="101"/>
      <c r="C17" s="105" t="s">
        <v>76</v>
      </c>
      <c r="D17" s="85">
        <v>0</v>
      </c>
      <c r="E17" s="153"/>
      <c r="G17" s="101"/>
      <c r="H17" s="105" t="s">
        <v>87</v>
      </c>
      <c r="I17" s="106">
        <f>D15</f>
        <v>95443.06703397604</v>
      </c>
      <c r="J17" s="106" t="str">
        <f>aus_Eingabeparameter!C4</f>
        <v/>
      </c>
      <c r="K17" s="106" t="str">
        <f>aus_Eingabeparameter!D4</f>
        <v/>
      </c>
      <c r="L17" s="103"/>
      <c r="N17" s="101"/>
      <c r="O17" s="121">
        <f>aus_Eingabeparameter!B39</f>
        <v>2015</v>
      </c>
      <c r="P17" s="122">
        <f>aus_Eingabeparameter!C39</f>
        <v>132443.93509397603</v>
      </c>
      <c r="Q17" s="86"/>
      <c r="R17" s="86"/>
      <c r="S17" s="123">
        <f>P17+SUM($Q$17:Q17)+SUM($R$17:R17)</f>
        <v>132443.93509397603</v>
      </c>
      <c r="T17" s="103"/>
    </row>
    <row r="18" spans="1:20">
      <c r="A18" s="75"/>
      <c r="B18" s="101"/>
      <c r="C18" s="105"/>
      <c r="D18" s="154"/>
      <c r="E18" s="153"/>
      <c r="G18" s="107"/>
      <c r="H18" s="102" t="s">
        <v>75</v>
      </c>
      <c r="I18" s="106">
        <f>D16</f>
        <v>37000.868060000001</v>
      </c>
      <c r="J18" s="106" t="str">
        <f>aus_Eingabeparameter!C5</f>
        <v/>
      </c>
      <c r="K18" s="106" t="str">
        <f>aus_Eingabeparameter!D5</f>
        <v/>
      </c>
      <c r="L18" s="103"/>
      <c r="N18" s="101"/>
      <c r="O18" s="121">
        <f>aus_Eingabeparameter!B40</f>
        <v>2016</v>
      </c>
      <c r="P18" s="122" t="e">
        <f>aus_Eingabeparameter!C40</f>
        <v>#VALUE!</v>
      </c>
      <c r="Q18" s="86"/>
      <c r="R18" s="86"/>
      <c r="S18" s="123" t="e">
        <f>P18+SUM($Q$17:Q18)+SUM($R$17:R18)</f>
        <v>#VALUE!</v>
      </c>
      <c r="T18" s="103"/>
    </row>
    <row r="19" spans="1:20">
      <c r="A19" s="75"/>
      <c r="B19" s="101"/>
      <c r="C19" s="105" t="s">
        <v>73</v>
      </c>
      <c r="D19" s="85">
        <f>SUM(D20:D21)</f>
        <v>325694444.442222</v>
      </c>
      <c r="E19" s="153"/>
      <c r="F19" s="75"/>
      <c r="G19" s="107"/>
      <c r="H19" s="102" t="s">
        <v>76</v>
      </c>
      <c r="I19" s="106">
        <f>D17</f>
        <v>0</v>
      </c>
      <c r="J19" s="106" t="str">
        <f>aus_Eingabeparameter!C6</f>
        <v/>
      </c>
      <c r="K19" s="106" t="str">
        <f>aus_Eingabeparameter!D6</f>
        <v/>
      </c>
      <c r="L19" s="103"/>
      <c r="N19" s="101"/>
      <c r="O19" s="121">
        <f>aus_Eingabeparameter!B41</f>
        <v>2017</v>
      </c>
      <c r="P19" s="122" t="e">
        <f>aus_Eingabeparameter!C41</f>
        <v>#VALUE!</v>
      </c>
      <c r="Q19" s="86"/>
      <c r="R19" s="86"/>
      <c r="S19" s="123" t="e">
        <f>P19+SUM($Q$17:Q19)+SUM($R$17:R19)</f>
        <v>#VALUE!</v>
      </c>
      <c r="T19" s="103"/>
    </row>
    <row r="20" spans="1:20">
      <c r="A20" s="75"/>
      <c r="B20" s="101"/>
      <c r="C20" s="105" t="s">
        <v>110</v>
      </c>
      <c r="D20" s="85">
        <v>230972222.222222</v>
      </c>
      <c r="E20" s="153"/>
      <c r="F20" s="75"/>
      <c r="G20" s="107"/>
      <c r="H20" s="102"/>
      <c r="I20" s="105"/>
      <c r="J20" s="105"/>
      <c r="K20" s="105"/>
      <c r="L20" s="103"/>
      <c r="N20" s="101"/>
      <c r="O20" s="121">
        <f>aus_Eingabeparameter!B42</f>
        <v>2018</v>
      </c>
      <c r="P20" s="122" t="e">
        <f>aus_Eingabeparameter!C42</f>
        <v>#VALUE!</v>
      </c>
      <c r="Q20" s="86"/>
      <c r="R20" s="86"/>
      <c r="S20" s="123" t="e">
        <f>P20+SUM($Q$17:Q20)+SUM($R$17:R20)</f>
        <v>#VALUE!</v>
      </c>
      <c r="T20" s="103"/>
    </row>
    <row r="21" spans="1:20">
      <c r="A21" s="75"/>
      <c r="B21" s="101"/>
      <c r="C21" s="105" t="s">
        <v>86</v>
      </c>
      <c r="D21" s="166">
        <v>94722222.219999999</v>
      </c>
      <c r="E21" s="153"/>
      <c r="F21" s="75"/>
      <c r="G21" s="107"/>
      <c r="H21" s="102" t="s">
        <v>73</v>
      </c>
      <c r="I21" s="106">
        <f>D19</f>
        <v>325694444.442222</v>
      </c>
      <c r="J21" s="106" t="str">
        <f>aus_Eingabeparameter!C8</f>
        <v/>
      </c>
      <c r="K21" s="106" t="str">
        <f>aus_Eingabeparameter!D8</f>
        <v/>
      </c>
      <c r="L21" s="103"/>
      <c r="N21" s="101"/>
      <c r="O21" s="121">
        <f>aus_Eingabeparameter!B43</f>
        <v>2019</v>
      </c>
      <c r="P21" s="122" t="e">
        <f>aus_Eingabeparameter!C43</f>
        <v>#VALUE!</v>
      </c>
      <c r="Q21" s="86"/>
      <c r="R21" s="86"/>
      <c r="S21" s="123" t="e">
        <f>P21+SUM($Q$17:Q21)+SUM($R$17:R21)</f>
        <v>#VALUE!</v>
      </c>
      <c r="T21" s="103"/>
    </row>
    <row r="22" spans="1:20">
      <c r="A22" s="75"/>
      <c r="B22" s="101"/>
      <c r="C22" s="105"/>
      <c r="D22" s="155"/>
      <c r="E22" s="153"/>
      <c r="F22" s="75"/>
      <c r="G22" s="107"/>
      <c r="H22" s="102" t="s">
        <v>110</v>
      </c>
      <c r="I22" s="106">
        <f>D20</f>
        <v>230972222.222222</v>
      </c>
      <c r="J22" s="106" t="str">
        <f>aus_Eingabeparameter!C9</f>
        <v/>
      </c>
      <c r="K22" s="106" t="str">
        <f>aus_Eingabeparameter!D9</f>
        <v/>
      </c>
      <c r="L22" s="103"/>
      <c r="N22" s="101"/>
      <c r="O22" s="121">
        <f>aus_Eingabeparameter!B44</f>
        <v>2020</v>
      </c>
      <c r="P22" s="122" t="e">
        <f>aus_Eingabeparameter!C44</f>
        <v>#VALUE!</v>
      </c>
      <c r="Q22" s="86"/>
      <c r="R22" s="86"/>
      <c r="S22" s="123" t="e">
        <f>P22+SUM($Q$17:Q22)+SUM($R$17:R22)</f>
        <v>#VALUE!</v>
      </c>
      <c r="T22" s="103"/>
    </row>
    <row r="23" spans="1:20">
      <c r="A23" s="75"/>
      <c r="B23" s="101"/>
      <c r="C23" s="105" t="s">
        <v>141</v>
      </c>
      <c r="D23" s="129" t="str">
        <f>VLOOKUP(aus_Eingabeparameter!$G$34,aus_Eingabeparameter!$F$29:$G$31,2,FALSE)</f>
        <v>Keine Berechnung möglich, bitte Auswahl treffen!</v>
      </c>
      <c r="E23" s="153"/>
      <c r="F23" s="75"/>
      <c r="G23" s="107"/>
      <c r="H23" s="102" t="s">
        <v>86</v>
      </c>
      <c r="I23" s="106">
        <f>D21</f>
        <v>94722222.219999999</v>
      </c>
      <c r="J23" s="106" t="str">
        <f>aus_Eingabeparameter!C10</f>
        <v/>
      </c>
      <c r="K23" s="106" t="str">
        <f>aus_Eingabeparameter!D10</f>
        <v/>
      </c>
      <c r="L23" s="103"/>
      <c r="N23" s="101"/>
      <c r="O23" s="121">
        <f>aus_Eingabeparameter!B45</f>
        <v>2021</v>
      </c>
      <c r="P23" s="122" t="e">
        <f>aus_Eingabeparameter!C45</f>
        <v>#VALUE!</v>
      </c>
      <c r="Q23" s="86"/>
      <c r="R23" s="86"/>
      <c r="S23" s="123" t="e">
        <f>P23+SUM($Q$17:Q23)+SUM($R$17:R23)</f>
        <v>#VALUE!</v>
      </c>
      <c r="T23" s="103"/>
    </row>
    <row r="24" spans="1:20" ht="15.75" thickBot="1">
      <c r="A24" s="75"/>
      <c r="B24" s="101"/>
      <c r="C24" s="113"/>
      <c r="D24" s="113"/>
      <c r="E24" s="153"/>
      <c r="F24" s="75"/>
      <c r="G24" s="108"/>
      <c r="H24" s="109"/>
      <c r="I24" s="110"/>
      <c r="J24" s="110"/>
      <c r="K24" s="110"/>
      <c r="L24" s="111"/>
      <c r="N24" s="101"/>
      <c r="O24" s="121">
        <f>aus_Eingabeparameter!B46</f>
        <v>2022</v>
      </c>
      <c r="P24" s="122" t="e">
        <f>aus_Eingabeparameter!C46</f>
        <v>#VALUE!</v>
      </c>
      <c r="Q24" s="86"/>
      <c r="R24" s="86"/>
      <c r="S24" s="123" t="e">
        <f>P24+SUM($Q$17:Q24)+SUM($R$17:R24)</f>
        <v>#VALUE!</v>
      </c>
      <c r="T24" s="103"/>
    </row>
    <row r="25" spans="1:20" ht="15.75" thickBot="1">
      <c r="A25" s="75"/>
      <c r="B25" s="101"/>
      <c r="C25" s="113"/>
      <c r="D25" s="154"/>
      <c r="E25" s="153"/>
      <c r="F25" s="75"/>
      <c r="G25" s="112"/>
      <c r="H25" s="112"/>
      <c r="I25" s="112"/>
      <c r="J25" s="112"/>
      <c r="K25" s="113"/>
      <c r="L25" s="113"/>
      <c r="N25" s="101"/>
      <c r="O25" s="121">
        <f>aus_Eingabeparameter!B47</f>
        <v>2023</v>
      </c>
      <c r="P25" s="122" t="e">
        <f>aus_Eingabeparameter!C47</f>
        <v>#VALUE!</v>
      </c>
      <c r="Q25" s="86"/>
      <c r="R25" s="86"/>
      <c r="S25" s="123" t="e">
        <f>P25+SUM($Q$17:Q25)+SUM($R$17:R25)</f>
        <v>#VALUE!</v>
      </c>
      <c r="T25" s="103"/>
    </row>
    <row r="26" spans="1:20" ht="15.75">
      <c r="A26" s="75"/>
      <c r="B26" s="101"/>
      <c r="C26" s="105" t="s">
        <v>67</v>
      </c>
      <c r="D26" s="88">
        <v>0</v>
      </c>
      <c r="E26" s="153"/>
      <c r="F26" s="75"/>
      <c r="G26" s="114"/>
      <c r="H26" s="98" t="s">
        <v>66</v>
      </c>
      <c r="I26" s="98"/>
      <c r="J26" s="99" t="s">
        <v>149</v>
      </c>
      <c r="K26" s="99"/>
      <c r="L26" s="100"/>
      <c r="N26" s="101"/>
      <c r="O26" s="121">
        <f>aus_Eingabeparameter!B48</f>
        <v>2024</v>
      </c>
      <c r="P26" s="122" t="e">
        <f>aus_Eingabeparameter!C48</f>
        <v>#VALUE!</v>
      </c>
      <c r="Q26" s="86"/>
      <c r="R26" s="86"/>
      <c r="S26" s="123" t="e">
        <f>P26+SUM($Q$17:Q26)+SUM($R$17:R26)</f>
        <v>#VALUE!</v>
      </c>
      <c r="T26" s="103"/>
    </row>
    <row r="27" spans="1:20">
      <c r="B27" s="101"/>
      <c r="C27" s="105"/>
      <c r="D27" s="154"/>
      <c r="E27" s="153"/>
      <c r="F27" s="75"/>
      <c r="G27" s="107"/>
      <c r="H27" s="105"/>
      <c r="I27" s="105"/>
      <c r="J27" s="105"/>
      <c r="K27" s="102"/>
      <c r="L27" s="103"/>
      <c r="N27" s="101"/>
      <c r="O27" s="121">
        <f>aus_Eingabeparameter!B49</f>
        <v>2025</v>
      </c>
      <c r="P27" s="122" t="e">
        <f>aus_Eingabeparameter!C49</f>
        <v>#VALUE!</v>
      </c>
      <c r="Q27" s="86"/>
      <c r="R27" s="86"/>
      <c r="S27" s="123" t="e">
        <f>P27+SUM($Q$17:Q27)+SUM($R$17:R27)</f>
        <v>#VALUE!</v>
      </c>
      <c r="T27" s="103"/>
    </row>
    <row r="28" spans="1:20">
      <c r="B28" s="101"/>
      <c r="C28" s="156" t="s">
        <v>59</v>
      </c>
      <c r="D28" s="154"/>
      <c r="E28" s="153"/>
      <c r="F28" s="75"/>
      <c r="G28" s="107"/>
      <c r="H28" s="105"/>
      <c r="I28" s="115" t="s">
        <v>4</v>
      </c>
      <c r="J28" s="115">
        <v>2020</v>
      </c>
      <c r="K28" s="115">
        <v>2025</v>
      </c>
      <c r="L28" s="103"/>
      <c r="N28" s="101"/>
      <c r="O28" s="102"/>
      <c r="P28" s="102"/>
      <c r="Q28" s="102"/>
      <c r="R28" s="102"/>
      <c r="S28" s="102"/>
      <c r="T28" s="103"/>
    </row>
    <row r="29" spans="1:20">
      <c r="B29" s="101"/>
      <c r="C29" s="113"/>
      <c r="D29" s="113"/>
      <c r="E29" s="153"/>
      <c r="F29" s="75"/>
      <c r="G29" s="107"/>
      <c r="H29" s="105" t="s">
        <v>108</v>
      </c>
      <c r="I29" s="116">
        <f>D14/$D$14</f>
        <v>1</v>
      </c>
      <c r="J29" s="117" t="e">
        <f>J16/$D$14</f>
        <v>#VALUE!</v>
      </c>
      <c r="K29" s="117" t="e">
        <f>K16/$D$14</f>
        <v>#VALUE!</v>
      </c>
      <c r="L29" s="103"/>
      <c r="N29" s="77"/>
      <c r="O29" s="78"/>
      <c r="P29" s="78"/>
      <c r="Q29" s="78"/>
      <c r="R29" s="78"/>
      <c r="S29" s="78"/>
      <c r="T29" s="79"/>
    </row>
    <row r="30" spans="1:20">
      <c r="B30" s="101"/>
      <c r="C30" s="105" t="s">
        <v>78</v>
      </c>
      <c r="D30" s="89">
        <v>1</v>
      </c>
      <c r="E30" s="153"/>
      <c r="F30" s="75"/>
      <c r="G30" s="107"/>
      <c r="H30" s="105" t="s">
        <v>109</v>
      </c>
      <c r="I30" s="116">
        <f>D19/$D$19</f>
        <v>1</v>
      </c>
      <c r="J30" s="117" t="e">
        <f>J21/$D$19</f>
        <v>#VALUE!</v>
      </c>
      <c r="K30" s="117" t="e">
        <f>K21/$D$19</f>
        <v>#VALUE!</v>
      </c>
      <c r="L30" s="103"/>
      <c r="N30" s="77"/>
      <c r="O30" s="78"/>
      <c r="P30" s="78"/>
      <c r="Q30" s="78"/>
      <c r="R30" s="78"/>
      <c r="S30" s="78"/>
      <c r="T30" s="79"/>
    </row>
    <row r="31" spans="1:20">
      <c r="B31" s="101"/>
      <c r="C31" s="105" t="s">
        <v>68</v>
      </c>
      <c r="D31" s="88"/>
      <c r="E31" s="153"/>
      <c r="F31" s="75"/>
      <c r="G31" s="107"/>
      <c r="H31" s="80"/>
      <c r="I31" s="160">
        <v>2015</v>
      </c>
      <c r="J31" s="160">
        <v>2020</v>
      </c>
      <c r="K31" s="160">
        <v>2025</v>
      </c>
      <c r="L31" s="79"/>
      <c r="N31" s="77"/>
      <c r="O31" s="78"/>
      <c r="P31" s="84">
        <f t="shared" ref="P31:P41" si="0">S17/$S$17</f>
        <v>1</v>
      </c>
      <c r="Q31" s="78"/>
      <c r="R31" s="78"/>
      <c r="S31" s="78"/>
      <c r="T31" s="79"/>
    </row>
    <row r="32" spans="1:20">
      <c r="A32" s="75"/>
      <c r="B32" s="101"/>
      <c r="C32" s="105" t="s">
        <v>69</v>
      </c>
      <c r="D32" s="96">
        <f>aus_Eingabeparameter!B18</f>
        <v>0</v>
      </c>
      <c r="E32" s="103"/>
      <c r="F32" s="75"/>
      <c r="G32" s="87"/>
      <c r="H32" s="78"/>
      <c r="I32" s="78"/>
      <c r="J32" s="78"/>
      <c r="K32" s="78"/>
      <c r="L32" s="79"/>
      <c r="N32" s="77"/>
      <c r="O32" s="78"/>
      <c r="P32" s="84" t="e">
        <f t="shared" si="0"/>
        <v>#VALUE!</v>
      </c>
      <c r="Q32" s="78"/>
      <c r="R32" s="78"/>
      <c r="S32" s="78"/>
      <c r="T32" s="79"/>
    </row>
    <row r="33" spans="1:20">
      <c r="A33" s="75"/>
      <c r="B33" s="101"/>
      <c r="C33" s="105"/>
      <c r="D33" s="154"/>
      <c r="E33" s="103"/>
      <c r="F33" s="75"/>
      <c r="G33" s="87"/>
      <c r="H33" s="80"/>
      <c r="I33" s="80"/>
      <c r="J33" s="80"/>
      <c r="K33" s="78"/>
      <c r="L33" s="79"/>
      <c r="N33" s="77"/>
      <c r="O33" s="78"/>
      <c r="P33" s="84" t="e">
        <f t="shared" si="0"/>
        <v>#VALUE!</v>
      </c>
      <c r="Q33" s="78"/>
      <c r="R33" s="78"/>
      <c r="S33" s="78"/>
      <c r="T33" s="79"/>
    </row>
    <row r="34" spans="1:20">
      <c r="A34" s="75"/>
      <c r="B34" s="101"/>
      <c r="C34" s="105" t="s">
        <v>71</v>
      </c>
      <c r="D34" s="90">
        <v>520000</v>
      </c>
      <c r="E34" s="103"/>
      <c r="F34" s="75"/>
      <c r="G34" s="87"/>
      <c r="H34" s="80"/>
      <c r="I34" s="80"/>
      <c r="J34" s="80"/>
      <c r="K34" s="78"/>
      <c r="L34" s="79"/>
      <c r="N34" s="77"/>
      <c r="O34" s="78"/>
      <c r="P34" s="84" t="e">
        <f t="shared" si="0"/>
        <v>#VALUE!</v>
      </c>
      <c r="Q34" s="78"/>
      <c r="R34" s="78"/>
      <c r="S34" s="78"/>
      <c r="T34" s="79"/>
    </row>
    <row r="35" spans="1:20">
      <c r="A35" s="75"/>
      <c r="B35" s="101"/>
      <c r="C35" s="105" t="s">
        <v>72</v>
      </c>
      <c r="D35" s="90">
        <v>480000</v>
      </c>
      <c r="E35" s="103"/>
      <c r="G35" s="87"/>
      <c r="H35" s="80"/>
      <c r="I35" s="80"/>
      <c r="J35" s="80"/>
      <c r="K35" s="78"/>
      <c r="L35" s="79"/>
      <c r="N35" s="77"/>
      <c r="O35" s="78"/>
      <c r="P35" s="84" t="e">
        <f t="shared" si="0"/>
        <v>#VALUE!</v>
      </c>
      <c r="Q35" s="78"/>
      <c r="R35" s="78"/>
      <c r="S35" s="78"/>
      <c r="T35" s="79"/>
    </row>
    <row r="36" spans="1:20">
      <c r="A36" s="75"/>
      <c r="B36" s="101"/>
      <c r="C36" s="105" t="s">
        <v>154</v>
      </c>
      <c r="D36" s="90">
        <v>0</v>
      </c>
      <c r="E36" s="103"/>
      <c r="G36" s="87"/>
      <c r="H36" s="80"/>
      <c r="I36" s="80"/>
      <c r="J36" s="80"/>
      <c r="K36" s="78"/>
      <c r="L36" s="79"/>
      <c r="N36" s="77"/>
      <c r="O36" s="78"/>
      <c r="P36" s="84" t="e">
        <f t="shared" si="0"/>
        <v>#VALUE!</v>
      </c>
      <c r="Q36" s="78"/>
      <c r="R36" s="78"/>
      <c r="S36" s="78"/>
      <c r="T36" s="79"/>
    </row>
    <row r="37" spans="1:20">
      <c r="A37" s="75"/>
      <c r="B37" s="101"/>
      <c r="C37" s="105"/>
      <c r="D37" s="154"/>
      <c r="E37" s="103"/>
      <c r="G37" s="87"/>
      <c r="H37" s="80"/>
      <c r="I37" s="80"/>
      <c r="J37" s="80"/>
      <c r="K37" s="78"/>
      <c r="L37" s="79"/>
      <c r="N37" s="77"/>
      <c r="O37" s="78"/>
      <c r="P37" s="84" t="e">
        <f t="shared" si="0"/>
        <v>#VALUE!</v>
      </c>
      <c r="Q37" s="78"/>
      <c r="R37" s="78"/>
      <c r="S37" s="78"/>
      <c r="T37" s="79"/>
    </row>
    <row r="38" spans="1:20">
      <c r="A38" s="75"/>
      <c r="B38" s="101"/>
      <c r="C38" s="105" t="s">
        <v>70</v>
      </c>
      <c r="D38" s="89">
        <v>1</v>
      </c>
      <c r="E38" s="103"/>
      <c r="G38" s="87"/>
      <c r="H38" s="80"/>
      <c r="I38" s="80"/>
      <c r="J38" s="80"/>
      <c r="K38" s="78"/>
      <c r="L38" s="79"/>
      <c r="N38" s="77"/>
      <c r="O38" s="78"/>
      <c r="P38" s="84" t="e">
        <f t="shared" si="0"/>
        <v>#VALUE!</v>
      </c>
      <c r="Q38" s="78"/>
      <c r="R38" s="78"/>
      <c r="S38" s="78"/>
      <c r="T38" s="79"/>
    </row>
    <row r="39" spans="1:20">
      <c r="A39" s="75"/>
      <c r="B39" s="101"/>
      <c r="C39" s="105" t="s">
        <v>152</v>
      </c>
      <c r="D39" s="154"/>
      <c r="E39" s="103"/>
      <c r="G39" s="87"/>
      <c r="H39" s="80"/>
      <c r="I39" s="80"/>
      <c r="J39" s="80"/>
      <c r="K39" s="78"/>
      <c r="L39" s="79"/>
      <c r="N39" s="77"/>
      <c r="O39" s="78"/>
      <c r="P39" s="84" t="e">
        <f t="shared" si="0"/>
        <v>#VALUE!</v>
      </c>
      <c r="Q39" s="78"/>
      <c r="R39" s="78"/>
      <c r="S39" s="78"/>
      <c r="T39" s="79"/>
    </row>
    <row r="40" spans="1:20">
      <c r="A40" s="75"/>
      <c r="B40" s="101"/>
      <c r="C40" s="105" t="s">
        <v>79</v>
      </c>
      <c r="D40" s="91">
        <v>-10</v>
      </c>
      <c r="E40" s="153"/>
      <c r="F40" s="75"/>
      <c r="G40" s="87"/>
      <c r="H40" s="80"/>
      <c r="I40" s="80"/>
      <c r="J40" s="80"/>
      <c r="K40" s="78"/>
      <c r="L40" s="79"/>
      <c r="N40" s="77"/>
      <c r="O40" s="78"/>
      <c r="P40" s="84" t="e">
        <f t="shared" si="0"/>
        <v>#VALUE!</v>
      </c>
      <c r="Q40" s="78"/>
      <c r="R40" s="78"/>
      <c r="S40" s="78"/>
      <c r="T40" s="79"/>
    </row>
    <row r="41" spans="1:20" ht="15.75" thickBot="1">
      <c r="A41" s="75"/>
      <c r="B41" s="151"/>
      <c r="C41" s="110"/>
      <c r="D41" s="109"/>
      <c r="E41" s="157"/>
      <c r="F41" s="75"/>
      <c r="G41" s="87"/>
      <c r="H41" s="80"/>
      <c r="I41" s="80"/>
      <c r="J41" s="80"/>
      <c r="K41" s="78"/>
      <c r="L41" s="79"/>
      <c r="N41" s="77"/>
      <c r="O41" s="78"/>
      <c r="P41" s="84" t="e">
        <f t="shared" si="0"/>
        <v>#VALUE!</v>
      </c>
      <c r="Q41" s="78"/>
      <c r="R41" s="78"/>
      <c r="S41" s="78"/>
      <c r="T41" s="79"/>
    </row>
    <row r="42" spans="1:20" ht="15.75" thickBot="1">
      <c r="A42" s="75"/>
      <c r="B42" s="113"/>
      <c r="C42" s="112"/>
      <c r="D42" s="112"/>
      <c r="E42" s="112"/>
      <c r="F42" s="75"/>
      <c r="G42" s="87"/>
      <c r="H42" s="80"/>
      <c r="I42" s="80"/>
      <c r="J42" s="80"/>
      <c r="K42" s="78"/>
      <c r="L42" s="79"/>
      <c r="N42" s="77"/>
      <c r="O42" s="78"/>
      <c r="P42" s="78"/>
      <c r="Q42" s="78"/>
      <c r="R42" s="78"/>
      <c r="S42" s="78"/>
      <c r="T42" s="79"/>
    </row>
    <row r="43" spans="1:20" ht="15.75">
      <c r="A43" s="75"/>
      <c r="B43" s="97"/>
      <c r="C43" s="98" t="s">
        <v>56</v>
      </c>
      <c r="D43" s="98" t="s">
        <v>7</v>
      </c>
      <c r="E43" s="100"/>
      <c r="F43" s="75"/>
      <c r="G43" s="87"/>
      <c r="H43" s="80"/>
      <c r="I43" s="80"/>
      <c r="J43" s="80"/>
      <c r="K43" s="78"/>
      <c r="L43" s="79"/>
      <c r="N43" s="77"/>
      <c r="O43" s="78"/>
      <c r="P43" s="78"/>
      <c r="Q43" s="78"/>
      <c r="R43" s="78"/>
      <c r="S43" s="78"/>
      <c r="T43" s="79"/>
    </row>
    <row r="44" spans="1:20">
      <c r="A44" s="75"/>
      <c r="B44" s="101"/>
      <c r="C44" s="105"/>
      <c r="D44" s="115" t="s">
        <v>122</v>
      </c>
      <c r="E44" s="103"/>
      <c r="F44" s="75"/>
      <c r="G44" s="87"/>
      <c r="H44" s="80"/>
      <c r="I44" s="80"/>
      <c r="J44" s="80"/>
      <c r="K44" s="78"/>
      <c r="L44" s="79"/>
      <c r="N44" s="77"/>
      <c r="O44" s="78"/>
      <c r="P44" s="78"/>
      <c r="Q44" s="78"/>
      <c r="R44" s="78"/>
      <c r="S44" s="78"/>
      <c r="T44" s="79"/>
    </row>
    <row r="45" spans="1:20">
      <c r="A45" s="75"/>
      <c r="B45" s="101"/>
      <c r="C45" s="158" t="s">
        <v>125</v>
      </c>
      <c r="D45" s="115"/>
      <c r="E45" s="103"/>
      <c r="F45" s="75"/>
      <c r="G45" s="77"/>
      <c r="H45" s="78"/>
      <c r="I45" s="78"/>
      <c r="J45" s="78"/>
      <c r="K45" s="78"/>
      <c r="L45" s="79"/>
      <c r="N45" s="77"/>
      <c r="O45" s="78"/>
      <c r="P45" s="78"/>
      <c r="Q45" s="78"/>
      <c r="R45" s="78"/>
      <c r="S45" s="78"/>
      <c r="T45" s="79"/>
    </row>
    <row r="46" spans="1:20">
      <c r="B46" s="101"/>
      <c r="C46" s="105" t="s">
        <v>158</v>
      </c>
      <c r="D46" s="92"/>
      <c r="E46" s="103"/>
      <c r="G46" s="77"/>
      <c r="H46" s="78"/>
      <c r="I46" s="78"/>
      <c r="J46" s="78"/>
      <c r="K46" s="78"/>
      <c r="L46" s="79"/>
      <c r="N46" s="77"/>
      <c r="O46" s="78"/>
      <c r="P46" s="78"/>
      <c r="Q46" s="78"/>
      <c r="R46" s="78"/>
      <c r="S46" s="78"/>
      <c r="T46" s="79"/>
    </row>
    <row r="47" spans="1:20">
      <c r="B47" s="101"/>
      <c r="C47" s="105" t="s">
        <v>82</v>
      </c>
      <c r="D47" s="125"/>
      <c r="E47" s="103"/>
      <c r="G47" s="77"/>
      <c r="H47" s="78"/>
      <c r="I47" s="78"/>
      <c r="J47" s="78"/>
      <c r="K47" s="78"/>
      <c r="L47" s="79"/>
      <c r="N47" s="77"/>
      <c r="O47" s="78"/>
      <c r="P47" s="78"/>
      <c r="Q47" s="78"/>
      <c r="R47" s="78"/>
      <c r="S47" s="78"/>
      <c r="T47" s="79"/>
    </row>
    <row r="48" spans="1:20" ht="15.75" thickBot="1">
      <c r="B48" s="101"/>
      <c r="C48" s="105"/>
      <c r="D48" s="115"/>
      <c r="E48" s="103"/>
      <c r="G48" s="77"/>
      <c r="H48" s="78"/>
      <c r="I48" s="78"/>
      <c r="J48" s="78"/>
      <c r="K48" s="78"/>
      <c r="L48" s="79"/>
      <c r="N48" s="81"/>
      <c r="O48" s="82"/>
      <c r="P48" s="82"/>
      <c r="Q48" s="82"/>
      <c r="R48" s="82"/>
      <c r="S48" s="82"/>
      <c r="T48" s="83"/>
    </row>
    <row r="49" spans="1:14">
      <c r="B49" s="101"/>
      <c r="C49" s="105" t="s">
        <v>159</v>
      </c>
      <c r="D49" s="92"/>
      <c r="E49" s="103"/>
      <c r="G49" s="77"/>
      <c r="H49" s="78"/>
      <c r="I49" s="78"/>
      <c r="J49" s="78"/>
      <c r="K49" s="78"/>
      <c r="L49" s="79"/>
    </row>
    <row r="50" spans="1:14" ht="15.75" thickBot="1">
      <c r="B50" s="101"/>
      <c r="C50" s="105" t="s">
        <v>82</v>
      </c>
      <c r="D50" s="125"/>
      <c r="E50" s="103"/>
      <c r="G50" s="81"/>
      <c r="H50" s="82"/>
      <c r="I50" s="82"/>
      <c r="J50" s="93"/>
      <c r="K50" s="82"/>
      <c r="L50" s="83"/>
    </row>
    <row r="51" spans="1:14">
      <c r="B51" s="101"/>
      <c r="C51" s="105"/>
      <c r="D51" s="115"/>
      <c r="E51" s="103"/>
    </row>
    <row r="52" spans="1:14">
      <c r="A52" s="78"/>
      <c r="B52" s="101"/>
      <c r="C52" s="105" t="s">
        <v>160</v>
      </c>
      <c r="D52" s="92"/>
      <c r="E52" s="103"/>
      <c r="F52" s="78"/>
    </row>
    <row r="53" spans="1:14">
      <c r="A53" s="78"/>
      <c r="B53" s="101"/>
      <c r="C53" s="105" t="s">
        <v>82</v>
      </c>
      <c r="D53" s="125"/>
      <c r="E53" s="103"/>
      <c r="F53" s="78"/>
    </row>
    <row r="54" spans="1:14">
      <c r="A54" s="78"/>
      <c r="B54" s="101"/>
      <c r="C54" s="105"/>
      <c r="D54" s="113"/>
      <c r="E54" s="103"/>
      <c r="F54" s="78"/>
    </row>
    <row r="55" spans="1:14">
      <c r="A55" s="78"/>
      <c r="B55" s="101"/>
      <c r="C55" s="158" t="s">
        <v>132</v>
      </c>
      <c r="D55" s="115"/>
      <c r="E55" s="103"/>
      <c r="F55" s="78"/>
    </row>
    <row r="56" spans="1:14">
      <c r="B56" s="101"/>
      <c r="C56" s="105" t="s">
        <v>124</v>
      </c>
      <c r="D56" s="92"/>
      <c r="E56" s="103"/>
    </row>
    <row r="57" spans="1:14">
      <c r="B57" s="101"/>
      <c r="C57" s="105" t="s">
        <v>80</v>
      </c>
      <c r="D57" s="95">
        <f>aus_Eingabeparameter!H4</f>
        <v>-4.9742710120066593E-3</v>
      </c>
      <c r="E57" s="103"/>
      <c r="M57" s="94"/>
      <c r="N57" s="94"/>
    </row>
    <row r="58" spans="1:14">
      <c r="B58" s="101"/>
      <c r="C58" s="105" t="s">
        <v>162</v>
      </c>
      <c r="D58" s="92"/>
      <c r="E58" s="103"/>
    </row>
    <row r="59" spans="1:14">
      <c r="B59" s="101"/>
      <c r="C59" s="105" t="s">
        <v>80</v>
      </c>
      <c r="D59" s="95">
        <f>aus_Eingabeparameter!H6</f>
        <v>-2.7859237536656735E-2</v>
      </c>
      <c r="E59" s="103"/>
    </row>
    <row r="60" spans="1:14">
      <c r="B60" s="101"/>
      <c r="C60" s="105"/>
      <c r="D60" s="105"/>
      <c r="E60" s="103"/>
    </row>
    <row r="61" spans="1:14">
      <c r="B61" s="101"/>
      <c r="C61" s="159" t="s">
        <v>128</v>
      </c>
      <c r="D61" s="105"/>
      <c r="E61" s="103"/>
    </row>
    <row r="62" spans="1:14">
      <c r="B62" s="101"/>
      <c r="C62" s="105" t="s">
        <v>83</v>
      </c>
      <c r="D62" s="92"/>
      <c r="E62" s="103"/>
    </row>
    <row r="63" spans="1:14">
      <c r="B63" s="101"/>
      <c r="C63" s="105" t="s">
        <v>80</v>
      </c>
      <c r="D63" s="95">
        <f>aus_Eingabeparameter!G23</f>
        <v>7.4077728416668803E-3</v>
      </c>
      <c r="E63" s="103"/>
    </row>
    <row r="64" spans="1:14">
      <c r="B64" s="101"/>
      <c r="C64" s="105" t="s">
        <v>84</v>
      </c>
      <c r="D64" s="92"/>
      <c r="E64" s="103"/>
    </row>
    <row r="65" spans="2:5">
      <c r="B65" s="101"/>
      <c r="C65" s="105" t="s">
        <v>80</v>
      </c>
      <c r="D65" s="95">
        <f>aus_Eingabeparameter!G25</f>
        <v>7.4533949626475523E-3</v>
      </c>
      <c r="E65" s="103"/>
    </row>
    <row r="66" spans="2:5" ht="15.75" thickBot="1">
      <c r="B66" s="151"/>
      <c r="C66" s="109"/>
      <c r="D66" s="109"/>
      <c r="E66" s="111"/>
    </row>
    <row r="67" spans="2:5"/>
    <row r="68" spans="2:5"/>
    <row r="69" spans="2:5"/>
    <row r="70" spans="2:5"/>
    <row r="71" spans="2:5"/>
    <row r="72" spans="2:5" hidden="1"/>
    <row r="73" spans="2:5" hidden="1">
      <c r="D73" s="80"/>
    </row>
    <row r="74" spans="2:5" hidden="1">
      <c r="B74" s="75"/>
      <c r="C74" s="75"/>
      <c r="D74" s="80"/>
    </row>
    <row r="75" spans="2:5" hidden="1">
      <c r="D75" s="80"/>
    </row>
    <row r="76" spans="2:5" hidden="1"/>
    <row r="77" spans="2:5" hidden="1"/>
    <row r="78" spans="2:5" hidden="1">
      <c r="D78" s="80"/>
    </row>
    <row r="79" spans="2:5" hidden="1">
      <c r="D79" s="80"/>
    </row>
    <row r="80" spans="2:5" hidden="1">
      <c r="D80" s="80"/>
    </row>
  </sheetData>
  <sheetProtection password="B7E3" sheet="1" objects="1" scenarios="1"/>
  <mergeCells count="2">
    <mergeCell ref="Q13:Q15"/>
    <mergeCell ref="R13:R15"/>
  </mergeCells>
  <pageMargins left="0.7" right="0.7" top="0.78740157499999996" bottom="0.78740157499999996" header="0.3" footer="0.3"/>
  <pageSetup paperSize="9" orientation="portrait" r:id="rId1"/>
  <ignoredErrors>
    <ignoredError sqref="P31" unlockedFormula="1"/>
    <ignoredError sqref="P32:P41" evalError="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Drop Down 10">
              <controlPr locked="0" defaultSize="0" autoLine="0" autoPict="0">
                <anchor moveWithCells="1">
                  <from>
                    <xdr:col>3</xdr:col>
                    <xdr:colOff>0</xdr:colOff>
                    <xdr:row>23</xdr:row>
                    <xdr:rowOff>19050</xdr:rowOff>
                  </from>
                  <to>
                    <xdr:col>3</xdr:col>
                    <xdr:colOff>3343275</xdr:colOff>
                    <xdr:row>24</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13D56E8C-7023-44AA-AC97-0FECB7A7DCC1}">
            <xm:f>NOT(ISERROR(SEARCH(aus_Eingabeparameter!$G$29,D23)))</xm:f>
            <xm:f>aus_Eingabeparameter!$G$29</xm:f>
            <x14:dxf>
              <font>
                <b/>
                <i val="0"/>
                <color theme="1" tint="4.9989318521683403E-2"/>
              </font>
              <fill>
                <patternFill>
                  <bgColor rgb="FFFF3F3F"/>
                </patternFill>
              </fill>
            </x14:dxf>
          </x14:cfRule>
          <xm:sqref>F25 D23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C000"/>
  </sheetPr>
  <dimension ref="A1:K49"/>
  <sheetViews>
    <sheetView workbookViewId="0">
      <selection activeCell="H12" sqref="H12"/>
    </sheetView>
  </sheetViews>
  <sheetFormatPr baseColWidth="10" defaultRowHeight="15"/>
  <cols>
    <col min="1" max="1" width="63" bestFit="1" customWidth="1"/>
    <col min="2" max="2" width="18.28515625" bestFit="1" customWidth="1"/>
    <col min="3" max="3" width="23" bestFit="1" customWidth="1"/>
    <col min="4" max="4" width="16.7109375" bestFit="1" customWidth="1"/>
    <col min="6" max="6" width="76" bestFit="1" customWidth="1"/>
    <col min="7" max="7" width="25.28515625" customWidth="1"/>
    <col min="8" max="8" width="23.85546875" customWidth="1"/>
  </cols>
  <sheetData>
    <row r="1" spans="1:11">
      <c r="B1" s="6" t="str">
        <f>'Eingabe Parameter'!D12</f>
        <v>Parameter Eingabe</v>
      </c>
      <c r="C1" s="6">
        <f>'Eingabe Parameter'!J14</f>
        <v>2020</v>
      </c>
      <c r="D1" s="6">
        <f>'Eingabe Parameter'!K14</f>
        <v>2025</v>
      </c>
      <c r="E1" s="6"/>
      <c r="F1" s="6" t="str">
        <f>'Eingabe Parameter'!C43</f>
        <v>Eingabe optional</v>
      </c>
      <c r="G1" s="6" t="str">
        <f>'Eingabe Parameter'!D43</f>
        <v>Parameter Eingabe</v>
      </c>
      <c r="J1" t="s">
        <v>40</v>
      </c>
    </row>
    <row r="2" spans="1:11">
      <c r="B2" s="6"/>
      <c r="C2" s="6"/>
      <c r="D2" s="6"/>
      <c r="E2" s="6"/>
      <c r="F2" s="18"/>
      <c r="G2" s="13" t="s">
        <v>41</v>
      </c>
      <c r="H2" s="14" t="s">
        <v>42</v>
      </c>
      <c r="J2" t="s">
        <v>41</v>
      </c>
      <c r="K2" t="s">
        <v>42</v>
      </c>
    </row>
    <row r="3" spans="1:11">
      <c r="A3" t="str">
        <f>'Eingabe Parameter'!C14</f>
        <v>Leistungsbedarf gesamt [in MW]</v>
      </c>
      <c r="B3" s="3">
        <f>'Eingabe Parameter'!D14</f>
        <v>132443.93509397603</v>
      </c>
      <c r="C3" s="5" t="str">
        <f>IF($G$34=1,"",SUM(C4:C6))</f>
        <v/>
      </c>
      <c r="D3" s="5" t="str">
        <f>IF($G$34=1,"",SUM(D4:D6))</f>
        <v/>
      </c>
      <c r="F3" s="15" t="s">
        <v>113</v>
      </c>
      <c r="G3" s="136">
        <f>G4*(H3/H4)/10</f>
        <v>-3.487707261291606E-2</v>
      </c>
      <c r="H3" s="137">
        <f>IF(ISNUMBER('Eingabe Parameter'!D56),'Eingabe Parameter'!D56,H4)*10</f>
        <v>-4.9742710120066591E-2</v>
      </c>
      <c r="J3" s="46"/>
    </row>
    <row r="4" spans="1:11">
      <c r="A4" s="6" t="str">
        <f>'Eingabe Parameter'!C15</f>
        <v>Leistungsbedarf SLP [in MW]  (bei Bedarf: Restlast verwenden)</v>
      </c>
      <c r="B4" s="3">
        <f>'Eingabe Parameter'!D15</f>
        <v>95443.06703397604</v>
      </c>
      <c r="C4" s="5" t="str">
        <f>IF($G$34=1, "",IFERROR(C9/'Vollbenutzungsstunden SLP'!D5,0))</f>
        <v/>
      </c>
      <c r="D4" s="5" t="str">
        <f>IF($G$34=1, "",IFERROR(D9/'Vollbenutzungsstunden SLP'!E5,0))</f>
        <v/>
      </c>
      <c r="F4" s="15" t="s">
        <v>115</v>
      </c>
      <c r="G4" s="53">
        <f>$B$17*VLOOKUP($B$13,'Input GHD&amp;Industrie'!$A$4:$G$99,3,FALSE) + $B$18*VLOOKUP($B$16,'Input GHD&amp;Industrie'!$A$4:$G$99,3,FALSE)</f>
        <v>-3.487707261291606E-2</v>
      </c>
      <c r="H4" s="16">
        <f>($B$17*VLOOKUP($B$13,'Input GHD&amp;Industrie'!$A$4:$G$99,4,FALSE) + $B$18*VLOOKUP($B$16,'Input GHD&amp;Industrie'!$A$4:$G$99,4,FALSE))/10</f>
        <v>-4.9742710120066593E-3</v>
      </c>
    </row>
    <row r="5" spans="1:11">
      <c r="A5" s="6" t="str">
        <f>'Eingabe Parameter'!C16</f>
        <v>Leistungsbedarf RLM [in MW]</v>
      </c>
      <c r="B5" s="3">
        <f>'Eingabe Parameter'!D16</f>
        <v>37000.868060000001</v>
      </c>
      <c r="C5" s="26" t="str">
        <f>IF($G$34=1,"",IFERROR(C10/'Vollbenutzungsstunden RLM'!D5,0))</f>
        <v/>
      </c>
      <c r="D5" s="26" t="str">
        <f>IF($G$34=1,"",IFERROR(D10/'Vollbenutzungsstunden RLM'!E5,0))</f>
        <v/>
      </c>
      <c r="F5" s="15" t="s">
        <v>114</v>
      </c>
      <c r="G5" s="136">
        <f>G6*(H5/H6)/10</f>
        <v>-0.14369501466275147</v>
      </c>
      <c r="H5" s="137">
        <f>IF(ISNUMBER('Eingabe Parameter'!D58),'Eingabe Parameter'!D58,H6)*10</f>
        <v>-0.27859237536656734</v>
      </c>
      <c r="J5" s="20">
        <f>(1+G5)/(1+G7)</f>
        <v>0.99999999999999944</v>
      </c>
      <c r="K5" s="20">
        <f>(1+H5)/(1+H7)</f>
        <v>1</v>
      </c>
    </row>
    <row r="6" spans="1:11" s="10" customFormat="1">
      <c r="A6" s="10" t="str">
        <f>'Eingabe Parameter'!C17</f>
        <v>Leistungsbedarf Kraftwerke [in MW]</v>
      </c>
      <c r="B6" s="3">
        <f>'Eingabe Parameter'!D17</f>
        <v>0</v>
      </c>
      <c r="C6" s="5" t="str">
        <f>IF($G$34=1,"",B6)</f>
        <v/>
      </c>
      <c r="D6" s="5" t="str">
        <f>IF($G$34=1,"",C6)</f>
        <v/>
      </c>
      <c r="F6" s="15" t="s">
        <v>115</v>
      </c>
      <c r="G6" s="53">
        <f>$B$17*VLOOKUP($B$13,'Input GHD&amp;Industrie'!$A$4:$G$99,6,FALSE) + $B$18*VLOOKUP($B$16,'Input GHD&amp;Industrie'!$A$4:$G$99,6,FALSE)</f>
        <v>-0.14369501466275147</v>
      </c>
      <c r="H6" s="16">
        <f>($B$17*VLOOKUP($B$13,'Input GHD&amp;Industrie'!$A$4:$G$99,7,FALSE) + $B$18*VLOOKUP($B$16,'Input GHD&amp;Industrie'!$A$4:$G$99,7,FALSE) ) /10</f>
        <v>-2.7859237536656735E-2</v>
      </c>
    </row>
    <row r="7" spans="1:11">
      <c r="A7" s="6"/>
      <c r="B7" s="8"/>
      <c r="C7" s="8"/>
      <c r="D7" s="8"/>
      <c r="F7" s="17" t="s">
        <v>112</v>
      </c>
      <c r="G7" s="55">
        <v>-0.143695014662751</v>
      </c>
      <c r="H7" s="55">
        <v>-0.27859237536656734</v>
      </c>
    </row>
    <row r="8" spans="1:11">
      <c r="A8" s="6" t="str">
        <f>'Eingabe Parameter'!C19</f>
        <v>Verbrauch gesamt [in MWh]</v>
      </c>
      <c r="B8" s="3">
        <f>'Eingabe Parameter'!D19</f>
        <v>325694444.442222</v>
      </c>
      <c r="C8" s="5" t="str">
        <f>IF($G$34=1,"",C9+C10)</f>
        <v/>
      </c>
      <c r="D8" s="5" t="str">
        <f>IF($G$34=1,"",D9+D10)</f>
        <v/>
      </c>
      <c r="F8" s="32"/>
      <c r="G8" s="32"/>
      <c r="H8" s="32"/>
    </row>
    <row r="9" spans="1:11">
      <c r="A9" s="6" t="str">
        <f>'Eingabe Parameter'!C20</f>
        <v>Verbrauch SLP [in MWh]</v>
      </c>
      <c r="B9" s="3">
        <f>'Eingabe Parameter'!D20</f>
        <v>230972222.222222</v>
      </c>
      <c r="C9" s="5" t="str">
        <f>IF($G$34=1,"",IF(G9&lt;&gt;0,(1+G9)*B9, 'Vollbenutzungsstunden SLP'!D18))</f>
        <v/>
      </c>
      <c r="D9" s="5" t="str">
        <f>IF($G$34=1,"",IF(H9&lt;&gt;0,(1+H9)*C9, 'Vollbenutzungsstunden SLP'!E18))</f>
        <v/>
      </c>
      <c r="F9" s="32"/>
      <c r="G9" s="45"/>
      <c r="H9" s="45"/>
    </row>
    <row r="10" spans="1:11" s="6" customFormat="1">
      <c r="A10" s="32" t="str">
        <f>'Eingabe Parameter'!C21</f>
        <v>Verbrauch RLM ohne Kraftwerke [in MWh]</v>
      </c>
      <c r="B10" s="3">
        <f>'Eingabe Parameter'!D21</f>
        <v>94722222.219999999</v>
      </c>
      <c r="C10" s="5" t="str">
        <f>IF($G$34=1,"",('Vollbenutzungsstunden RLM'!D17+'Vollbenutzungsstunden RLM'!D18))</f>
        <v/>
      </c>
      <c r="D10" s="5" t="str">
        <f>IF($G$34=1,"",('Vollbenutzungsstunden RLM'!E17+'Vollbenutzungsstunden RLM'!E18))</f>
        <v/>
      </c>
      <c r="F10" s="32"/>
      <c r="G10" s="32"/>
      <c r="H10" s="32"/>
    </row>
    <row r="11" spans="1:11" s="10" customFormat="1">
      <c r="B11" s="32"/>
      <c r="C11" s="32"/>
      <c r="D11" s="32"/>
      <c r="F11" s="18" t="str">
        <f>'Eingabe Parameter'!C45</f>
        <v>Nachverdichtung (Neuanschluss von Verbrauchern durch Umstieg auf Erdgas)</v>
      </c>
      <c r="G11" s="14"/>
      <c r="H11" s="52"/>
    </row>
    <row r="12" spans="1:11">
      <c r="A12" s="6"/>
      <c r="B12" s="8"/>
      <c r="C12" s="8"/>
      <c r="D12" s="8"/>
      <c r="F12" s="15" t="str">
        <f>'Eingabe Parameter'!C46</f>
        <v xml:space="preserve">Quote Nachverdichtung Industrie [in % vom Bestand Industrie, pro Jahr] </v>
      </c>
      <c r="G12" s="135">
        <f>'Eingabe Parameter'!D46</f>
        <v>0</v>
      </c>
      <c r="H12" s="52"/>
    </row>
    <row r="13" spans="1:11">
      <c r="A13" s="6" t="str">
        <f>'Eingabe Parameter'!C26</f>
        <v>Erste 2 Stellen der PLZ des Netzgebiets (PLZ2-Gebiet)</v>
      </c>
      <c r="B13" s="23">
        <f>IF('Eingabe Parameter'!D26&lt;99,'Eingabe Parameter'!D26,ROUNDDOWN('Eingabe Parameter'!D26/1000,0))</f>
        <v>0</v>
      </c>
      <c r="C13" s="8"/>
      <c r="D13" s="8"/>
      <c r="F13" s="15" t="str">
        <f>'Eingabe Parameter'!C47</f>
        <v>Vorschlag nach Referenzprognose</v>
      </c>
      <c r="G13" s="16"/>
      <c r="H13" s="52"/>
    </row>
    <row r="14" spans="1:11">
      <c r="A14" s="52"/>
      <c r="B14" s="23"/>
      <c r="C14" s="8"/>
      <c r="D14" s="8"/>
      <c r="E14" s="52"/>
      <c r="F14" s="15"/>
      <c r="G14" s="16"/>
      <c r="H14" s="52"/>
    </row>
    <row r="15" spans="1:11">
      <c r="A15" s="52" t="str">
        <f>'Eingabe Parameter'!C28</f>
        <v>Optional: Bei Überschneidung zweites PLZ2-Gebiet</v>
      </c>
      <c r="B15" s="23"/>
      <c r="C15" s="8"/>
      <c r="D15" s="8"/>
      <c r="E15" s="52"/>
      <c r="F15" s="15" t="str">
        <f>'Eingabe Parameter'!C49</f>
        <v xml:space="preserve">Quote Nachverdichtung GHD [in % vom Bestand GHD, pro Jahr] </v>
      </c>
      <c r="G15" s="135">
        <f>'Eingabe Parameter'!D49</f>
        <v>0</v>
      </c>
      <c r="H15" s="52"/>
    </row>
    <row r="16" spans="1:11">
      <c r="A16" s="52" t="str">
        <f>'Eingabe Parameter'!C31</f>
        <v>Erste 2 Stellen des zweiten PLZ2 - Gebiets</v>
      </c>
      <c r="B16" s="23">
        <f>IF(ISNUMBER('Eingabe Parameter'!D31),'Eingabe Parameter'!D31,B13)</f>
        <v>0</v>
      </c>
      <c r="C16" s="8"/>
      <c r="D16" s="8"/>
      <c r="E16" s="52"/>
      <c r="F16" s="15" t="str">
        <f>'Eingabe Parameter'!C50</f>
        <v>Vorschlag nach Referenzprognose</v>
      </c>
      <c r="G16" s="16"/>
      <c r="H16" s="52"/>
    </row>
    <row r="17" spans="1:9">
      <c r="A17" s="52" t="str">
        <f>'Eingabe Parameter'!C30</f>
        <v>Anteil an Verbrauch erstes PLZ2-Gebiet [in %]</v>
      </c>
      <c r="B17" s="70">
        <f>IF(ISNUMBER('Eingabe Parameter'!D30),'Eingabe Parameter'!D30,1)</f>
        <v>1</v>
      </c>
      <c r="C17" s="8"/>
      <c r="D17" s="8"/>
      <c r="E17" s="52"/>
      <c r="F17" s="15"/>
      <c r="G17" s="16"/>
      <c r="H17" s="52"/>
    </row>
    <row r="18" spans="1:9">
      <c r="A18" s="52" t="str">
        <f>'Eingabe Parameter'!C32</f>
        <v>Anteil an Verbrauch zweites PLZ2-Gebiet (keine Eingabe, zur Kontrolle)</v>
      </c>
      <c r="B18" s="71">
        <f>1-B17</f>
        <v>0</v>
      </c>
      <c r="D18" s="8"/>
      <c r="E18" s="52"/>
      <c r="F18" s="15" t="str">
        <f>'Eingabe Parameter'!C52</f>
        <v xml:space="preserve">Quote Nachverdichtung HH [in % vom Bestand HH, pro Jahr] </v>
      </c>
      <c r="G18" s="135">
        <f>'Eingabe Parameter'!D52</f>
        <v>0</v>
      </c>
      <c r="H18" s="52"/>
    </row>
    <row r="19" spans="1:9">
      <c r="A19" s="52"/>
      <c r="B19" s="69"/>
      <c r="D19" s="8"/>
      <c r="E19" s="52"/>
      <c r="F19" s="17" t="str">
        <f>'Eingabe Parameter'!C53</f>
        <v>Vorschlag nach Referenzprognose</v>
      </c>
      <c r="G19" s="29"/>
      <c r="H19" s="37"/>
    </row>
    <row r="20" spans="1:9">
      <c r="A20" s="52"/>
      <c r="B20" s="69"/>
      <c r="E20" s="52"/>
      <c r="H20" t="s">
        <v>130</v>
      </c>
    </row>
    <row r="21" spans="1:9">
      <c r="A21" s="10" t="str">
        <f>'Eingabe Parameter'!C34</f>
        <v>Kundenwerte EFH (Summe aller Ausprägungen) [in MWh]</v>
      </c>
      <c r="B21" s="3">
        <f>'Eingabe Parameter'!D34</f>
        <v>520000</v>
      </c>
      <c r="E21" s="52"/>
      <c r="F21" s="18" t="str">
        <f>'Eingabe Parameter'!C61</f>
        <v>Neubauquoten von privaten Haushalten</v>
      </c>
      <c r="G21" s="13"/>
      <c r="H21" s="14"/>
    </row>
    <row r="22" spans="1:9">
      <c r="A22" s="10" t="str">
        <f>'Eingabe Parameter'!C35</f>
        <v>Kundenwerte MFH (Summe aller Ausprägungen) [in MWh ]</v>
      </c>
      <c r="B22" s="3">
        <f>'Eingabe Parameter'!D35</f>
        <v>480000</v>
      </c>
      <c r="F22" s="15" t="str">
        <f>'Eingabe Parameter'!C62</f>
        <v>Neubauquote EFH [in % vom Bestand EFH pro Jahr]</v>
      </c>
      <c r="G22" s="136">
        <f>IF(ISNUMBER('Eingabe Parameter'!D62),'Eingabe Parameter'!D62,G23)</f>
        <v>7.4077728416668803E-3</v>
      </c>
      <c r="H22" s="20">
        <f>IF(ISNUMBER(G22),G22/G23,1)</f>
        <v>1</v>
      </c>
    </row>
    <row r="23" spans="1:9">
      <c r="A23" s="10" t="str">
        <f>'Eingabe Parameter'!C36</f>
        <v>Kundenwerte Gewerbe/GHD [in MWh]</v>
      </c>
      <c r="B23" s="3">
        <f>'Eingabe Parameter'!D36</f>
        <v>0</v>
      </c>
      <c r="F23" s="15" t="str">
        <f>'Eingabe Parameter'!C63</f>
        <v>Vorschlag nach Referenzprognose [in % pro Jahr]</v>
      </c>
      <c r="G23" s="53">
        <f>VLOOKUP($B$13,'Input SLP'!$C$6:$BH$101,57,FALSE)</f>
        <v>7.4077728416668803E-3</v>
      </c>
      <c r="H23" s="16"/>
      <c r="I23" s="10"/>
    </row>
    <row r="24" spans="1:9">
      <c r="A24" s="10"/>
      <c r="B24" s="10"/>
      <c r="F24" s="15" t="str">
        <f>'Eingabe Parameter'!C64</f>
        <v>Neubauquote MFH [in % vom Bestand MFH pro Jahr]</v>
      </c>
      <c r="G24" s="136">
        <f>IF(ISNUMBER('Eingabe Parameter'!D64),'Eingabe Parameter'!D64,G25)</f>
        <v>7.4533949626475523E-3</v>
      </c>
      <c r="H24" s="20">
        <f>IF(ISNUMBER(G24),G24/G25,1)</f>
        <v>1</v>
      </c>
      <c r="I24" s="10"/>
    </row>
    <row r="25" spans="1:9">
      <c r="A25" s="10" t="str">
        <f>'Eingabe Parameter'!C38</f>
        <v>Anteil des GHD-Verbrauchs an Verbrauch RLM [in %]</v>
      </c>
      <c r="B25" s="3">
        <f>'Eingabe Parameter'!D38</f>
        <v>1</v>
      </c>
      <c r="F25" s="17" t="str">
        <f>'Eingabe Parameter'!C65</f>
        <v>Vorschlag nach Referenzprognose [in % pro Jahr]</v>
      </c>
      <c r="G25" s="1">
        <f>VLOOKUP($B$13,'Input SLP'!$C$6:$BH$101,58,FALSE)</f>
        <v>7.4533949626475523E-3</v>
      </c>
      <c r="H25" s="29"/>
    </row>
    <row r="26" spans="1:9">
      <c r="A26" s="10"/>
      <c r="B26" s="10"/>
      <c r="F26" s="37"/>
      <c r="G26" s="37"/>
      <c r="H26" s="10"/>
      <c r="I26" s="10"/>
    </row>
    <row r="27" spans="1:9">
      <c r="A27" s="10" t="str">
        <f>'Eingabe Parameter'!C40</f>
        <v>Auslegungstemperatur [in °C]</v>
      </c>
      <c r="B27" s="3">
        <f>IF('Eingabe Parameter'!D40&gt;-10,-10,IF('Eingabe Parameter'!D40&lt;-16,-16,'Eingabe Parameter'!D40))</f>
        <v>-10</v>
      </c>
      <c r="F27" s="10"/>
      <c r="G27" s="10"/>
      <c r="H27" s="10"/>
    </row>
    <row r="28" spans="1:9">
      <c r="B28" s="167"/>
      <c r="C28" s="167"/>
      <c r="D28" s="167"/>
      <c r="F28" s="6"/>
      <c r="G28" s="128" t="s">
        <v>117</v>
      </c>
    </row>
    <row r="29" spans="1:9" s="52" customFormat="1">
      <c r="C29" s="167"/>
      <c r="D29" s="167"/>
      <c r="F29" s="10">
        <v>1</v>
      </c>
      <c r="G29" t="s">
        <v>123</v>
      </c>
      <c r="H29"/>
    </row>
    <row r="30" spans="1:9" s="52" customFormat="1">
      <c r="C30" s="167"/>
      <c r="D30" s="167"/>
      <c r="F30" s="10">
        <v>2</v>
      </c>
      <c r="G30" s="80" t="s">
        <v>118</v>
      </c>
      <c r="H30" s="80" t="s">
        <v>118</v>
      </c>
    </row>
    <row r="31" spans="1:9" s="52" customFormat="1">
      <c r="C31" s="167"/>
      <c r="F31" s="10">
        <v>3</v>
      </c>
      <c r="G31" s="80" t="s">
        <v>116</v>
      </c>
      <c r="H31" s="80" t="s">
        <v>116</v>
      </c>
    </row>
    <row r="32" spans="1:9" s="52" customFormat="1">
      <c r="F32" s="10"/>
      <c r="G32" s="10"/>
      <c r="H32" s="10"/>
    </row>
    <row r="33" spans="1:8" s="52" customFormat="1">
      <c r="F33" s="10"/>
      <c r="G33" s="10"/>
      <c r="H33" s="10"/>
    </row>
    <row r="34" spans="1:8" s="52" customFormat="1">
      <c r="F34" t="s">
        <v>129</v>
      </c>
      <c r="G34" s="85">
        <v>1</v>
      </c>
      <c r="H34" s="10"/>
    </row>
    <row r="35" spans="1:8" s="52" customFormat="1"/>
    <row r="38" spans="1:8">
      <c r="A38" s="19" t="s">
        <v>7</v>
      </c>
      <c r="C38" t="s">
        <v>85</v>
      </c>
    </row>
    <row r="39" spans="1:8">
      <c r="A39" s="20" t="s">
        <v>11</v>
      </c>
      <c r="B39">
        <v>2015</v>
      </c>
      <c r="C39" s="5">
        <f>B3</f>
        <v>132443.93509397603</v>
      </c>
    </row>
    <row r="40" spans="1:8">
      <c r="A40" s="21" t="s">
        <v>13</v>
      </c>
      <c r="B40">
        <v>2016</v>
      </c>
      <c r="C40" s="5" t="e">
        <f>(B40-$B$39)*($C$44-$C$39)/5 +$C$39</f>
        <v>#VALUE!</v>
      </c>
    </row>
    <row r="41" spans="1:8">
      <c r="A41" s="11" t="s">
        <v>14</v>
      </c>
      <c r="B41" s="52">
        <v>2017</v>
      </c>
      <c r="C41" s="5" t="e">
        <f>(B41-$B$39)*($C$44-$C$39)/5 +$C$39</f>
        <v>#VALUE!</v>
      </c>
    </row>
    <row r="42" spans="1:8">
      <c r="B42" s="52">
        <v>2018</v>
      </c>
      <c r="C42" s="5" t="e">
        <f>(B42-$B$39)*($C$44-$C$39)/5 +$C$39</f>
        <v>#VALUE!</v>
      </c>
    </row>
    <row r="43" spans="1:8">
      <c r="B43" s="52">
        <v>2019</v>
      </c>
      <c r="C43" s="5" t="e">
        <f>(B43-$B$39)*($C$44-$C$39)/5 +$C$39</f>
        <v>#VALUE!</v>
      </c>
    </row>
    <row r="44" spans="1:8">
      <c r="B44" s="52">
        <v>2020</v>
      </c>
      <c r="C44" s="5" t="e">
        <f>IF(ISNUMBER(C3),C3,1/"")</f>
        <v>#VALUE!</v>
      </c>
      <c r="F44" s="6"/>
      <c r="G44" s="10"/>
      <c r="H44" s="10"/>
    </row>
    <row r="45" spans="1:8">
      <c r="B45" s="52">
        <v>2021</v>
      </c>
      <c r="C45" s="5" t="e">
        <f>(B45-$B$44)*($C$49-$C$44)/5 +$C$44</f>
        <v>#VALUE!</v>
      </c>
      <c r="F45" s="6"/>
      <c r="G45" s="10"/>
      <c r="H45" s="10"/>
    </row>
    <row r="46" spans="1:8">
      <c r="B46" s="52">
        <v>2022</v>
      </c>
      <c r="C46" s="5" t="e">
        <f>(B46-$B$44)*($C$49-$C$44)/5 +$C$44</f>
        <v>#VALUE!</v>
      </c>
      <c r="F46" s="6"/>
      <c r="G46" s="10"/>
      <c r="H46" s="10"/>
    </row>
    <row r="47" spans="1:8">
      <c r="B47" s="52">
        <v>2023</v>
      </c>
      <c r="C47" s="5" t="e">
        <f>(B47-$B$44)*($C$49-$C$44)/5 +$C$44</f>
        <v>#VALUE!</v>
      </c>
      <c r="F47" s="6"/>
      <c r="G47" s="10"/>
      <c r="H47" s="10"/>
    </row>
    <row r="48" spans="1:8">
      <c r="B48" s="52">
        <v>2024</v>
      </c>
      <c r="C48" s="5" t="e">
        <f>(B48-$B$44)*($C$49-$C$44)/5 +$C$44</f>
        <v>#VALUE!</v>
      </c>
      <c r="F48" s="6"/>
      <c r="G48" s="6"/>
    </row>
    <row r="49" spans="2:3">
      <c r="B49" s="52">
        <v>2025</v>
      </c>
      <c r="C49" s="5" t="e">
        <f>IF(ISNUMBER(D3),D3,1/"")</f>
        <v>#VALUE!</v>
      </c>
    </row>
  </sheetData>
  <sortState ref="G30:G31">
    <sortCondition ref="G23:G24"/>
  </sortState>
  <dataValidations count="1">
    <dataValidation type="list" allowBlank="1" showInputMessage="1" showErrorMessage="1" sqref="G34">
      <formula1>BerInd</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C000"/>
  </sheetPr>
  <dimension ref="A1:Q61"/>
  <sheetViews>
    <sheetView topLeftCell="B1" workbookViewId="0">
      <selection activeCell="G12" sqref="G12"/>
    </sheetView>
  </sheetViews>
  <sheetFormatPr baseColWidth="10" defaultRowHeight="15"/>
  <cols>
    <col min="1" max="1" width="42.7109375" style="2" bestFit="1" customWidth="1"/>
    <col min="2" max="2" width="48.42578125" style="2" bestFit="1" customWidth="1"/>
    <col min="3" max="3" width="27.85546875" bestFit="1" customWidth="1"/>
    <col min="4" max="5" width="27.85546875" style="2" bestFit="1" customWidth="1"/>
    <col min="6" max="6" width="15.85546875" style="2" customWidth="1"/>
    <col min="7" max="8" width="30.7109375" bestFit="1" customWidth="1"/>
    <col min="9" max="9" width="26.7109375" bestFit="1" customWidth="1"/>
    <col min="11" max="11" width="26.7109375" bestFit="1" customWidth="1"/>
  </cols>
  <sheetData>
    <row r="1" spans="1:15">
      <c r="A1" s="10"/>
      <c r="B1" s="10"/>
      <c r="C1" s="10"/>
      <c r="D1" s="10"/>
      <c r="E1" s="10"/>
    </row>
    <row r="2" spans="1:15">
      <c r="A2" s="12" t="s">
        <v>3</v>
      </c>
      <c r="B2" s="13"/>
      <c r="C2" s="13"/>
      <c r="D2" s="13"/>
      <c r="E2" s="14"/>
      <c r="M2" s="2"/>
      <c r="N2" s="2"/>
      <c r="O2" s="2"/>
    </row>
    <row r="3" spans="1:15">
      <c r="A3" s="15" t="s">
        <v>17</v>
      </c>
      <c r="B3" s="7"/>
      <c r="C3" s="7" t="s">
        <v>4</v>
      </c>
      <c r="D3" s="7">
        <v>2020</v>
      </c>
      <c r="E3" s="16">
        <v>2025</v>
      </c>
    </row>
    <row r="4" spans="1:15">
      <c r="A4" s="15"/>
      <c r="B4" s="7" t="s">
        <v>12</v>
      </c>
      <c r="C4" s="20">
        <f>aus_Eingabeparameter!B9/aus_Eingabeparameter!B4</f>
        <v>2420</v>
      </c>
      <c r="D4" s="20"/>
      <c r="E4" s="20"/>
    </row>
    <row r="5" spans="1:15">
      <c r="A5" s="17"/>
      <c r="B5" s="1" t="s">
        <v>8</v>
      </c>
      <c r="C5" s="20">
        <f>SUM(C8:C10)/SUM(C13:C15)</f>
        <v>2420</v>
      </c>
      <c r="D5" s="20">
        <f>SUM(D8:D10)/SUM(D13:D15)</f>
        <v>2342.1440191021666</v>
      </c>
      <c r="E5" s="20">
        <f>SUM(E8:E10)/SUM(E13:E15)</f>
        <v>2184.9250935661439</v>
      </c>
      <c r="F5" s="4"/>
    </row>
    <row r="6" spans="1:15" s="10" customFormat="1">
      <c r="A6" s="15"/>
      <c r="B6" s="7"/>
      <c r="F6" s="4"/>
    </row>
    <row r="7" spans="1:15" s="10" customFormat="1">
      <c r="A7" s="18" t="s">
        <v>90</v>
      </c>
      <c r="B7" s="13" t="s">
        <v>8</v>
      </c>
      <c r="C7" s="13"/>
      <c r="D7" s="13"/>
      <c r="E7" s="14"/>
    </row>
    <row r="8" spans="1:15" s="10" customFormat="1">
      <c r="A8" s="15"/>
      <c r="B8" s="7" t="s">
        <v>15</v>
      </c>
      <c r="C8" s="20">
        <f>$C38/$C19    *   C26/$C26     *$C18</f>
        <v>120105555.55555545</v>
      </c>
      <c r="D8" s="20">
        <f>$C38/$C19    *   D26/$C26     *$C18</f>
        <v>115066646.21680871</v>
      </c>
      <c r="E8" s="20">
        <f>$C38/$C19    *   E26/$C26     *$C18</f>
        <v>103490123.53299682</v>
      </c>
      <c r="H8" s="52"/>
      <c r="I8" s="52"/>
    </row>
    <row r="9" spans="1:15" s="10" customFormat="1">
      <c r="A9" s="15"/>
      <c r="B9" s="7" t="s">
        <v>16</v>
      </c>
      <c r="C9" s="20">
        <f>$C39*$C18/$C19 *C27/$C27</f>
        <v>110866666.66666657</v>
      </c>
      <c r="D9" s="20">
        <f>$C39*$C18/$C19 *D27/$C27</f>
        <v>105572242.67208023</v>
      </c>
      <c r="E9" s="20">
        <f>$C39*$C18/$C19 *E27/$C27</f>
        <v>93759876.467003211</v>
      </c>
      <c r="G9" s="52"/>
      <c r="H9" s="52"/>
      <c r="I9" s="52"/>
    </row>
    <row r="10" spans="1:15" s="10" customFormat="1">
      <c r="A10" s="17"/>
      <c r="B10" s="1" t="s">
        <v>1</v>
      </c>
      <c r="C10" s="20">
        <f>$C40*$C18/$C19 *C28/$C28</f>
        <v>0</v>
      </c>
      <c r="D10" s="20">
        <f>$C40*$C18/$C19 *D28/$C28</f>
        <v>0</v>
      </c>
      <c r="E10" s="20">
        <f>$C40*$C18/$C19 *E28/$C28</f>
        <v>0</v>
      </c>
      <c r="G10" s="52"/>
      <c r="H10" s="52"/>
      <c r="I10" s="52"/>
    </row>
    <row r="11" spans="1:15" s="10" customFormat="1">
      <c r="A11" s="15"/>
      <c r="B11" s="7"/>
      <c r="F11" s="4"/>
    </row>
    <row r="12" spans="1:15" s="10" customFormat="1">
      <c r="A12" s="18" t="s">
        <v>91</v>
      </c>
      <c r="B12" s="13" t="s">
        <v>8</v>
      </c>
      <c r="C12" s="13"/>
      <c r="D12" s="13"/>
      <c r="E12" s="14"/>
    </row>
    <row r="13" spans="1:15" s="10" customFormat="1">
      <c r="A13" s="15"/>
      <c r="B13" s="7" t="s">
        <v>15</v>
      </c>
      <c r="C13" s="20">
        <f>$C43*$C20/$C21 *C31/$C$31</f>
        <v>54041.546799923104</v>
      </c>
      <c r="D13" s="20">
        <f>$C43*$C20/$C21 *D31/$C$31</f>
        <v>53595.622669839962</v>
      </c>
      <c r="E13" s="20">
        <f>$C43*$C20/$C21 *E31/$C$31</f>
        <v>51876.403786849027</v>
      </c>
    </row>
    <row r="14" spans="1:15" s="10" customFormat="1">
      <c r="A14" s="15"/>
      <c r="B14" s="7" t="s">
        <v>16</v>
      </c>
      <c r="C14" s="20">
        <f>$C44*$C20/$C21 *C32/$C$32</f>
        <v>41401.520234052936</v>
      </c>
      <c r="D14" s="20">
        <f>$C44*$C20/$C21 *D32/$C$32</f>
        <v>40608.186783973339</v>
      </c>
      <c r="E14" s="20">
        <f>$C44*$C20/$C21 *E32/$C$32</f>
        <v>38401.290666308087</v>
      </c>
    </row>
    <row r="15" spans="1:15" s="10" customFormat="1">
      <c r="A15" s="17"/>
      <c r="B15" s="1" t="s">
        <v>1</v>
      </c>
      <c r="C15" s="20">
        <f>$C45*$C20/$C21*C33/$C$33</f>
        <v>0</v>
      </c>
      <c r="D15" s="20">
        <f>$C45*$C20/$C21*D33/$C$33</f>
        <v>0</v>
      </c>
      <c r="E15" s="20">
        <f>$C45*$C20/$C21*E33/$C$33</f>
        <v>0</v>
      </c>
    </row>
    <row r="16" spans="1:15" s="10" customFormat="1">
      <c r="A16" s="15"/>
      <c r="B16" s="7"/>
      <c r="F16" s="4"/>
    </row>
    <row r="17" spans="1:17" s="10" customFormat="1">
      <c r="A17" s="18" t="s">
        <v>17</v>
      </c>
      <c r="B17" s="13" t="s">
        <v>29</v>
      </c>
      <c r="C17" s="28" t="s">
        <v>4</v>
      </c>
      <c r="D17" s="13">
        <v>2020</v>
      </c>
      <c r="E17" s="14">
        <v>2025</v>
      </c>
      <c r="F17" s="4"/>
    </row>
    <row r="18" spans="1:17" s="10" customFormat="1">
      <c r="A18" s="15"/>
      <c r="B18" s="7" t="s">
        <v>92</v>
      </c>
      <c r="C18" s="59">
        <f>aus_Eingabeparameter!B9</f>
        <v>230972222.222222</v>
      </c>
      <c r="D18" s="58">
        <f>SUM(D8:D10) * (aus_Eingabeparameter!G18*5+1)</f>
        <v>220638888.88888896</v>
      </c>
      <c r="E18" s="58">
        <f>SUM(E8:E10) * (aus_Eingabeparameter!G18*10+1)</f>
        <v>197250000.00000003</v>
      </c>
      <c r="F18" s="4"/>
      <c r="H18" s="52"/>
      <c r="I18" s="52"/>
    </row>
    <row r="19" spans="1:17" s="10" customFormat="1">
      <c r="A19" s="15"/>
      <c r="B19" s="7" t="s">
        <v>93</v>
      </c>
      <c r="C19" s="20">
        <f>SUM(C38:C40)</f>
        <v>1000000000</v>
      </c>
      <c r="D19" s="7"/>
      <c r="E19" s="16"/>
      <c r="F19" s="4"/>
    </row>
    <row r="20" spans="1:17" s="10" customFormat="1">
      <c r="A20" s="15"/>
      <c r="B20" s="7" t="s">
        <v>94</v>
      </c>
      <c r="C20" s="59">
        <f>aus_Eingabeparameter!B4</f>
        <v>95443.06703397604</v>
      </c>
      <c r="D20" s="7"/>
      <c r="E20" s="16"/>
      <c r="F20" s="4"/>
    </row>
    <row r="21" spans="1:17" s="10" customFormat="1">
      <c r="A21" s="17"/>
      <c r="B21" s="1" t="s">
        <v>95</v>
      </c>
      <c r="C21" s="20">
        <f>SUM(C43:C45)</f>
        <v>404160454.94403094</v>
      </c>
      <c r="D21" s="1"/>
      <c r="E21" s="29"/>
      <c r="F21" s="4"/>
    </row>
    <row r="22" spans="1:17" s="10" customFormat="1">
      <c r="A22" s="15"/>
      <c r="B22" s="7"/>
      <c r="C22" s="52"/>
      <c r="D22" s="52"/>
      <c r="E22" s="52"/>
      <c r="F22" s="4"/>
    </row>
    <row r="23" spans="1:17" s="10" customFormat="1">
      <c r="A23" s="15"/>
      <c r="B23" s="9"/>
      <c r="E23" s="52"/>
      <c r="F23" s="4"/>
    </row>
    <row r="24" spans="1:17">
      <c r="A24" s="12" t="s">
        <v>31</v>
      </c>
      <c r="B24" s="7"/>
      <c r="C24" s="7"/>
      <c r="D24" s="52"/>
      <c r="E24" s="52"/>
      <c r="F24" s="10"/>
      <c r="G24" s="37"/>
      <c r="H24" s="37"/>
      <c r="I24" s="37"/>
      <c r="J24" s="37"/>
      <c r="K24" s="37"/>
      <c r="M24" s="37"/>
      <c r="N24" s="37"/>
      <c r="O24" s="37"/>
      <c r="P24" s="37"/>
      <c r="Q24" s="37"/>
    </row>
    <row r="25" spans="1:17">
      <c r="A25" s="18" t="s">
        <v>96</v>
      </c>
      <c r="B25" s="13" t="s">
        <v>9</v>
      </c>
      <c r="C25" s="13">
        <v>1</v>
      </c>
      <c r="D25" s="13">
        <v>2</v>
      </c>
      <c r="E25" s="14">
        <v>3</v>
      </c>
      <c r="G25" s="37"/>
      <c r="H25" s="37"/>
      <c r="I25" s="37"/>
      <c r="J25" s="37"/>
      <c r="K25" s="37"/>
      <c r="M25" s="37"/>
      <c r="N25" s="37"/>
      <c r="O25" s="37"/>
      <c r="P25" s="37"/>
      <c r="Q25" s="37"/>
    </row>
    <row r="26" spans="1:17">
      <c r="A26" s="15">
        <v>1</v>
      </c>
      <c r="B26" s="7" t="s">
        <v>15</v>
      </c>
      <c r="C26" s="21">
        <f>aus_Eingabeparameter!$B$17 * VLOOKUP(aus_Eingabeparameter!$B$13,'Input SLP'!$C$6:$AD$101,'Vollbenutzungsstunden SLP'!$A26+'Vollbenutzungsstunden SLP'!C$25,FALSE) + aus_Eingabeparameter!$B$18 * VLOOKUP(aus_Eingabeparameter!$B$16,'Input SLP'!$C$6:$AD$101,'Vollbenutzungsstunden SLP'!$A26+'Vollbenutzungsstunden SLP'!C$25,FALSE)</f>
        <v>132906.08826665688</v>
      </c>
      <c r="D26" s="55">
        <f>aus_Eingabeparameter!$B$17 * VLOOKUP(aus_Eingabeparameter!$B$13,'Input SLP'!$C$6:$AD$101,'Vollbenutzungsstunden SLP'!$A26+'Vollbenutzungsstunden SLP'!D$25,FALSE) + aus_Eingabeparameter!$B$18 * VLOOKUP(aus_Eingabeparameter!$B$16,'Input SLP'!$C$6:$AD$101,'Vollbenutzungsstunden SLP'!$A26+'Vollbenutzungsstunden SLP'!D$25,FALSE)</f>
        <v>127330.1452867888</v>
      </c>
      <c r="E26" s="55">
        <f>aus_Eingabeparameter!$B$17 * VLOOKUP(aus_Eingabeparameter!$B$13,'Input SLP'!$C$6:$AD$101,'Vollbenutzungsstunden SLP'!$A26+'Vollbenutzungsstunden SLP'!E$25,FALSE) + aus_Eingabeparameter!$B$18 * VLOOKUP(aus_Eingabeparameter!$B$16,'Input SLP'!$C$6:$AD$101,'Vollbenutzungsstunden SLP'!$A26+'Vollbenutzungsstunden SLP'!E$25,FALSE)</f>
        <v>114519.82740832916</v>
      </c>
      <c r="G26" s="37"/>
      <c r="H26" s="37"/>
      <c r="I26" s="37"/>
      <c r="J26" s="37"/>
      <c r="K26" s="37"/>
      <c r="M26" s="37"/>
      <c r="N26" s="37"/>
      <c r="O26" s="37"/>
      <c r="P26" s="37"/>
      <c r="Q26" s="37"/>
    </row>
    <row r="27" spans="1:17" s="2" customFormat="1">
      <c r="A27" s="15">
        <v>4</v>
      </c>
      <c r="B27" s="7" t="s">
        <v>16</v>
      </c>
      <c r="C27" s="55">
        <f>aus_Eingabeparameter!$B$17 * VLOOKUP(aus_Eingabeparameter!$B$13,'Input SLP'!$C$6:$AD$101,'Vollbenutzungsstunden SLP'!$A27+'Vollbenutzungsstunden SLP'!C$25,FALSE) + aus_Eingabeparameter!$B$18 * VLOOKUP(aus_Eingabeparameter!$B$16,'Input SLP'!$C$6:$AD$101,'Vollbenutzungsstunden SLP'!$A27+'Vollbenutzungsstunden SLP'!C$25,FALSE)</f>
        <v>97788.356362343038</v>
      </c>
      <c r="D27" s="55">
        <f>aus_Eingabeparameter!$B$17 * VLOOKUP(aus_Eingabeparameter!$B$13,'Input SLP'!$C$6:$AD$101,'Vollbenutzungsstunden SLP'!$A27+'Vollbenutzungsstunden SLP'!D$25,FALSE) + aus_Eingabeparameter!$B$18 * VLOOKUP(aus_Eingabeparameter!$B$16,'Input SLP'!$C$6:$AD$101,'Vollbenutzungsstunden SLP'!$A27+'Vollbenutzungsstunden SLP'!D$25,FALSE)</f>
        <v>93118.485463522098</v>
      </c>
      <c r="E27" s="55">
        <f>aus_Eingabeparameter!$B$17 * VLOOKUP(aus_Eingabeparameter!$B$13,'Input SLP'!$C$6:$AD$101,'Vollbenutzungsstunden SLP'!$A27+'Vollbenutzungsstunden SLP'!E$25,FALSE) + aus_Eingabeparameter!$B$18 * VLOOKUP(aus_Eingabeparameter!$B$16,'Input SLP'!$C$6:$AD$101,'Vollbenutzungsstunden SLP'!$A27+'Vollbenutzungsstunden SLP'!E$25,FALSE)</f>
        <v>82699.556937263187</v>
      </c>
      <c r="G27" s="37"/>
      <c r="H27" s="37"/>
      <c r="I27" s="37"/>
      <c r="J27" s="37"/>
      <c r="K27" s="37"/>
      <c r="M27" s="37"/>
      <c r="N27" s="37"/>
      <c r="O27" s="37"/>
      <c r="P27" s="37"/>
      <c r="Q27" s="37"/>
    </row>
    <row r="28" spans="1:17">
      <c r="A28" s="17">
        <v>7</v>
      </c>
      <c r="B28" s="1" t="s">
        <v>1</v>
      </c>
      <c r="C28" s="55">
        <f>aus_Eingabeparameter!$B$17 * VLOOKUP(aus_Eingabeparameter!$B$13,'Input SLP'!$C$6:$AD$101,'Vollbenutzungsstunden SLP'!$A28+'Vollbenutzungsstunden SLP'!C$25,FALSE) + aus_Eingabeparameter!$B$18 * VLOOKUP(aus_Eingabeparameter!$B$16,'Input SLP'!$C$6:$AD$101,'Vollbenutzungsstunden SLP'!$A28+'Vollbenutzungsstunden SLP'!C$25,FALSE)</f>
        <v>2263.0000000000005</v>
      </c>
      <c r="D28" s="55">
        <f>aus_Eingabeparameter!$B$17 * VLOOKUP(aus_Eingabeparameter!$B$13,'Input SLP'!$C$6:$AD$101,'Vollbenutzungsstunden SLP'!$A28+'Vollbenutzungsstunden SLP'!D$25,FALSE) + aus_Eingabeparameter!$B$18 * VLOOKUP(aus_Eingabeparameter!$B$16,'Input SLP'!$C$6:$AD$101,'Vollbenutzungsstunden SLP'!$A28+'Vollbenutzungsstunden SLP'!D$25,FALSE)</f>
        <v>1867.8747466278669</v>
      </c>
      <c r="E28" s="55">
        <f>aus_Eingabeparameter!$B$17 * VLOOKUP(aus_Eingabeparameter!$B$13,'Input SLP'!$C$6:$AD$101,'Vollbenutzungsstunden SLP'!$A28+'Vollbenutzungsstunden SLP'!E$25,FALSE) + aus_Eingabeparameter!$B$18 * VLOOKUP(aus_Eingabeparameter!$B$16,'Input SLP'!$C$6:$AD$101,'Vollbenutzungsstunden SLP'!$A28+'Vollbenutzungsstunden SLP'!E$25,FALSE)</f>
        <v>1487.8553448017931</v>
      </c>
      <c r="G28" s="37"/>
      <c r="H28" s="37"/>
      <c r="I28" s="37"/>
      <c r="J28" s="37"/>
      <c r="K28" s="37"/>
      <c r="M28" s="37"/>
      <c r="N28" s="37"/>
      <c r="O28" s="37"/>
      <c r="P28" s="37"/>
      <c r="Q28" s="37"/>
    </row>
    <row r="29" spans="1:17" s="10" customFormat="1">
      <c r="A29" s="7"/>
      <c r="B29" s="7"/>
      <c r="C29" s="37"/>
      <c r="D29" s="7"/>
      <c r="E29" s="7"/>
      <c r="G29" s="37"/>
      <c r="H29" s="37"/>
      <c r="I29" s="37"/>
      <c r="J29" s="37"/>
      <c r="K29" s="37"/>
      <c r="M29" s="37"/>
      <c r="N29" s="37"/>
      <c r="O29" s="37"/>
      <c r="P29" s="37"/>
      <c r="Q29" s="37"/>
    </row>
    <row r="30" spans="1:17" s="10" customFormat="1">
      <c r="A30" s="18" t="s">
        <v>97</v>
      </c>
      <c r="B30" s="13" t="s">
        <v>9</v>
      </c>
      <c r="C30" s="13">
        <v>10</v>
      </c>
      <c r="D30" s="13">
        <v>11</v>
      </c>
      <c r="E30" s="14">
        <v>12</v>
      </c>
      <c r="G30" s="37"/>
      <c r="H30" s="37"/>
      <c r="I30" s="37"/>
      <c r="J30" s="37"/>
      <c r="K30" s="37"/>
      <c r="M30" s="37"/>
      <c r="N30" s="37"/>
      <c r="O30" s="37"/>
      <c r="P30" s="37"/>
      <c r="Q30" s="37"/>
    </row>
    <row r="31" spans="1:17" s="10" customFormat="1">
      <c r="A31" s="15">
        <v>1</v>
      </c>
      <c r="B31" s="7" t="s">
        <v>15</v>
      </c>
      <c r="C31" s="21">
        <f>aus_Eingabeparameter!$B$17 * VLOOKUP(aus_Eingabeparameter!$B$13,'Input SLP'!$C$6:$AD$101,'Vollbenutzungsstunden SLP'!$A31+'Vollbenutzungsstunden SLP'!C$30,FALSE)+aus_Eingabeparameter!$B$18 * VLOOKUP(aus_Eingabeparameter!$B$16,'Input SLP'!$C$6:$AD$101,'Vollbenutzungsstunden SLP'!$A31+'Vollbenutzungsstunden SLP'!C$30,FALSE)</f>
        <v>58.730043423180234</v>
      </c>
      <c r="D31" s="55">
        <f>aus_Eingabeparameter!$B$17 * VLOOKUP(aus_Eingabeparameter!$B$13,'Input SLP'!$C$6:$AD$101,'Vollbenutzungsstunden SLP'!$A31+'Vollbenutzungsstunden SLP'!D$30,FALSE)+aus_Eingabeparameter!$B$18 * VLOOKUP(aus_Eingabeparameter!$B$16,'Input SLP'!$C$6:$AD$101,'Vollbenutzungsstunden SLP'!$A31+'Vollbenutzungsstunden SLP'!D$30,FALSE)</f>
        <v>58.24543213660499</v>
      </c>
      <c r="E31" s="55">
        <f>aus_Eingabeparameter!$B$17 * VLOOKUP(aus_Eingabeparameter!$B$13,'Input SLP'!$C$6:$AD$101,'Vollbenutzungsstunden SLP'!$A31+'Vollbenutzungsstunden SLP'!E$30,FALSE)+aus_Eingabeparameter!$B$18 * VLOOKUP(aus_Eingabeparameter!$B$16,'Input SLP'!$C$6:$AD$101,'Vollbenutzungsstunden SLP'!$A31+'Vollbenutzungsstunden SLP'!E$30,FALSE)</f>
        <v>56.377058530908116</v>
      </c>
      <c r="G31" s="37"/>
      <c r="H31" s="37"/>
      <c r="I31" s="37"/>
      <c r="J31" s="37"/>
      <c r="K31" s="37"/>
      <c r="M31" s="37"/>
      <c r="N31" s="37"/>
      <c r="O31" s="37"/>
      <c r="P31" s="37"/>
      <c r="Q31" s="37"/>
    </row>
    <row r="32" spans="1:17" s="10" customFormat="1">
      <c r="A32" s="15">
        <v>4</v>
      </c>
      <c r="B32" s="7" t="s">
        <v>16</v>
      </c>
      <c r="C32" s="55">
        <f>aus_Eingabeparameter!$B$17 * VLOOKUP(aus_Eingabeparameter!$B$13,'Input SLP'!$C$6:$AD$101,'Vollbenutzungsstunden SLP'!$A32+'Vollbenutzungsstunden SLP'!C$30,FALSE)+aus_Eingabeparameter!$B$18 * VLOOKUP(aus_Eingabeparameter!$B$16,'Input SLP'!$C$6:$AD$101,'Vollbenutzungsstunden SLP'!$A32+'Vollbenutzungsstunden SLP'!C$30,FALSE)</f>
        <v>43.211823403598338</v>
      </c>
      <c r="D32" s="55">
        <f>aus_Eingabeparameter!$B$17 * VLOOKUP(aus_Eingabeparameter!$B$13,'Input SLP'!$C$6:$AD$101,'Vollbenutzungsstunden SLP'!$A32+'Vollbenutzungsstunden SLP'!D$30,FALSE)+aus_Eingabeparameter!$B$18 * VLOOKUP(aus_Eingabeparameter!$B$16,'Input SLP'!$C$6:$AD$101,'Vollbenutzungsstunden SLP'!$A32+'Vollbenutzungsstunden SLP'!D$30,FALSE)</f>
        <v>42.383801032651427</v>
      </c>
      <c r="E32" s="55">
        <f>aus_Eingabeparameter!$B$17 * VLOOKUP(aus_Eingabeparameter!$B$13,'Input SLP'!$C$6:$AD$101,'Vollbenutzungsstunden SLP'!$A32+'Vollbenutzungsstunden SLP'!E$30,FALSE)+aus_Eingabeparameter!$B$18 * VLOOKUP(aus_Eingabeparameter!$B$16,'Input SLP'!$C$6:$AD$101,'Vollbenutzungsstunden SLP'!$A32+'Vollbenutzungsstunden SLP'!E$30,FALSE)</f>
        <v>40.080407225672325</v>
      </c>
      <c r="G32" s="37"/>
      <c r="H32" s="37"/>
      <c r="I32" s="37"/>
      <c r="J32" s="37"/>
      <c r="K32" s="37"/>
      <c r="M32" s="37"/>
      <c r="N32" s="37"/>
      <c r="O32" s="37"/>
      <c r="P32" s="37"/>
      <c r="Q32" s="37"/>
    </row>
    <row r="33" spans="1:17" s="10" customFormat="1">
      <c r="A33" s="17">
        <v>7</v>
      </c>
      <c r="B33" s="1" t="s">
        <v>1</v>
      </c>
      <c r="C33" s="55">
        <f>aus_Eingabeparameter!$B$17 * VLOOKUP(aus_Eingabeparameter!$B$13,'Input SLP'!$C$6:$AD$101,'Vollbenutzungsstunden SLP'!$A33+'Vollbenutzungsstunden SLP'!C$30,FALSE)+aus_Eingabeparameter!$B$18 * VLOOKUP(aus_Eingabeparameter!$B$16,'Input SLP'!$C$6:$AD$101,'Vollbenutzungsstunden SLP'!$A33+'Vollbenutzungsstunden SLP'!C$30,FALSE)</f>
        <v>1</v>
      </c>
      <c r="D33" s="55">
        <f>aus_Eingabeparameter!$B$17 * VLOOKUP(aus_Eingabeparameter!$B$13,'Input SLP'!$C$6:$AD$101,'Vollbenutzungsstunden SLP'!$A33+'Vollbenutzungsstunden SLP'!D$30,FALSE)+aus_Eingabeparameter!$B$18 * VLOOKUP(aus_Eingabeparameter!$B$16,'Input SLP'!$C$6:$AD$101,'Vollbenutzungsstunden SLP'!$A33+'Vollbenutzungsstunden SLP'!D$30,FALSE)</f>
        <v>0.86728417994136808</v>
      </c>
      <c r="E33" s="55">
        <f>aus_Eingabeparameter!$B$17 * VLOOKUP(aus_Eingabeparameter!$B$13,'Input SLP'!$C$6:$AD$101,'Vollbenutzungsstunden SLP'!$A33+'Vollbenutzungsstunden SLP'!E$30,FALSE)+aus_Eingabeparameter!$B$18 * VLOOKUP(aus_Eingabeparameter!$B$16,'Input SLP'!$C$6:$AD$101,'Vollbenutzungsstunden SLP'!$A33+'Vollbenutzungsstunden SLP'!E$30,FALSE)</f>
        <v>0.74296049963054778</v>
      </c>
      <c r="G33" s="37"/>
      <c r="H33" s="37"/>
      <c r="I33" s="37"/>
      <c r="J33" s="37"/>
      <c r="K33" s="37"/>
      <c r="M33" s="37"/>
      <c r="N33" s="37"/>
      <c r="O33" s="37"/>
      <c r="P33" s="37"/>
      <c r="Q33" s="37"/>
    </row>
    <row r="34" spans="1:17" s="10" customFormat="1">
      <c r="A34" s="7"/>
      <c r="B34" s="7"/>
      <c r="D34" s="7"/>
      <c r="G34" s="37"/>
      <c r="H34" s="37"/>
      <c r="I34" s="37"/>
      <c r="J34" s="37"/>
      <c r="K34" s="37"/>
    </row>
    <row r="35" spans="1:17" s="10" customFormat="1">
      <c r="A35" s="7"/>
      <c r="B35" s="7"/>
      <c r="D35" s="46"/>
      <c r="E35" s="46"/>
    </row>
    <row r="36" spans="1:17">
      <c r="A36" s="27" t="s">
        <v>28</v>
      </c>
      <c r="B36" s="10"/>
      <c r="C36" s="10"/>
      <c r="D36" s="10"/>
      <c r="E36" s="10"/>
    </row>
    <row r="37" spans="1:17">
      <c r="A37" s="18" t="s">
        <v>98</v>
      </c>
      <c r="B37" s="13" t="s">
        <v>30</v>
      </c>
      <c r="C37" s="14"/>
      <c r="D37" s="10"/>
      <c r="E37" s="10"/>
    </row>
    <row r="38" spans="1:17">
      <c r="A38" s="15">
        <v>2</v>
      </c>
      <c r="B38" s="7" t="s">
        <v>15</v>
      </c>
      <c r="C38" s="144">
        <f>VLOOKUP(aus_Eingabeparameter!$B$27,'Kennwerte Kundenprofile'!$A$5:$G$11,'Vollbenutzungsstunden SLP'!A38,FALSE)*aus_Eingabeparameter!B21</f>
        <v>520000000</v>
      </c>
      <c r="D38" s="10"/>
      <c r="E38" s="10"/>
    </row>
    <row r="39" spans="1:17">
      <c r="A39" s="15">
        <v>4</v>
      </c>
      <c r="B39" s="7" t="s">
        <v>16</v>
      </c>
      <c r="C39" s="144">
        <f>VLOOKUP(aus_Eingabeparameter!$B$27,'Kennwerte Kundenprofile'!$A$5:$G$11,'Vollbenutzungsstunden SLP'!A39,FALSE)*aus_Eingabeparameter!B22</f>
        <v>480000000</v>
      </c>
      <c r="D39" s="10"/>
      <c r="E39" s="10"/>
    </row>
    <row r="40" spans="1:17">
      <c r="A40" s="17">
        <v>6</v>
      </c>
      <c r="B40" s="1" t="s">
        <v>1</v>
      </c>
      <c r="C40" s="143">
        <f>VLOOKUP(aus_Eingabeparameter!$B$27,'Kennwerte Kundenprofile'!$A$5:$G$11,'Vollbenutzungsstunden SLP'!A40,FALSE)*aus_Eingabeparameter!B23</f>
        <v>0</v>
      </c>
      <c r="D40" s="10"/>
      <c r="E40" s="10"/>
    </row>
    <row r="41" spans="1:17">
      <c r="A41" s="10"/>
      <c r="B41" s="10"/>
      <c r="C41" s="10"/>
      <c r="D41" s="10"/>
      <c r="E41" s="10"/>
    </row>
    <row r="42" spans="1:17">
      <c r="A42" s="18" t="s">
        <v>99</v>
      </c>
      <c r="B42" s="13" t="s">
        <v>30</v>
      </c>
      <c r="C42" s="14"/>
      <c r="D42" s="10"/>
      <c r="E42" s="10"/>
    </row>
    <row r="43" spans="1:17">
      <c r="A43" s="15">
        <v>3</v>
      </c>
      <c r="B43" s="7" t="s">
        <v>15</v>
      </c>
      <c r="C43" s="143">
        <f>VLOOKUP(aus_Eingabeparameter!$B$27,'Kennwerte Kundenprofile'!$A$5:$G$11,'Vollbenutzungsstunden SLP'!A43,FALSE)*C38</f>
        <v>228842773.17660895</v>
      </c>
      <c r="D43" s="10"/>
      <c r="E43" s="10"/>
    </row>
    <row r="44" spans="1:17">
      <c r="A44" s="15">
        <v>5</v>
      </c>
      <c r="B44" s="7" t="s">
        <v>16</v>
      </c>
      <c r="C44" s="143">
        <f>VLOOKUP(aus_Eingabeparameter!$B$27,'Kennwerte Kundenprofile'!$A$5:$G$11,'Vollbenutzungsstunden SLP'!A44,FALSE)*C39</f>
        <v>175317681.76742199</v>
      </c>
      <c r="D44" s="10"/>
      <c r="E44" s="10"/>
    </row>
    <row r="45" spans="1:17">
      <c r="A45" s="17">
        <v>7</v>
      </c>
      <c r="B45" s="1" t="s">
        <v>1</v>
      </c>
      <c r="C45" s="143">
        <f>VLOOKUP(aus_Eingabeparameter!$B$27,'Kennwerte Kundenprofile'!$A$5:$G$11,'Vollbenutzungsstunden SLP'!A45,FALSE)*C40</f>
        <v>0</v>
      </c>
      <c r="D45" s="10"/>
      <c r="E45" s="10"/>
    </row>
    <row r="46" spans="1:17">
      <c r="B46" s="10"/>
      <c r="C46" s="10"/>
      <c r="D46" s="10"/>
      <c r="E46" s="10"/>
    </row>
    <row r="47" spans="1:17">
      <c r="G47" s="37"/>
      <c r="H47" s="37"/>
      <c r="I47" s="37"/>
      <c r="J47" s="37"/>
      <c r="K47" s="37"/>
      <c r="L47" s="37"/>
    </row>
    <row r="48" spans="1:17" s="36" customFormat="1">
      <c r="G48" s="37"/>
      <c r="H48" s="37"/>
      <c r="I48" s="37"/>
      <c r="J48" s="37"/>
      <c r="K48" s="37"/>
      <c r="L48" s="37"/>
    </row>
    <row r="49" spans="1:12" s="36" customFormat="1">
      <c r="G49" s="37"/>
      <c r="H49" s="37"/>
      <c r="I49" s="37"/>
      <c r="J49" s="37"/>
      <c r="K49" s="37"/>
      <c r="L49" s="37"/>
    </row>
    <row r="50" spans="1:12" s="36" customFormat="1">
      <c r="G50" s="37"/>
      <c r="H50" s="37"/>
      <c r="I50" s="37"/>
      <c r="J50" s="37"/>
      <c r="K50" s="37"/>
      <c r="L50" s="37"/>
    </row>
    <row r="51" spans="1:12" s="36" customFormat="1">
      <c r="G51" s="37"/>
      <c r="H51" s="37"/>
      <c r="I51" s="37"/>
      <c r="J51" s="37"/>
      <c r="K51" s="37"/>
      <c r="L51" s="37"/>
    </row>
    <row r="52" spans="1:12">
      <c r="G52" s="37"/>
      <c r="H52" s="37"/>
      <c r="I52" s="37"/>
      <c r="J52" s="37"/>
      <c r="K52" s="37"/>
      <c r="L52" s="37"/>
    </row>
    <row r="53" spans="1:12">
      <c r="G53" s="37"/>
      <c r="H53" s="37"/>
      <c r="I53" s="37"/>
      <c r="J53" s="37"/>
      <c r="K53" s="37"/>
      <c r="L53" s="37"/>
    </row>
    <row r="54" spans="1:12">
      <c r="G54" s="37"/>
      <c r="H54" s="37"/>
      <c r="I54" s="37"/>
      <c r="J54" s="37"/>
      <c r="K54" s="37"/>
      <c r="L54" s="37"/>
    </row>
    <row r="58" spans="1:12">
      <c r="A58" s="19" t="s">
        <v>7</v>
      </c>
    </row>
    <row r="59" spans="1:12">
      <c r="A59" s="20" t="s">
        <v>11</v>
      </c>
    </row>
    <row r="60" spans="1:12">
      <c r="A60" s="21" t="s">
        <v>13</v>
      </c>
    </row>
    <row r="61" spans="1:12">
      <c r="A61" s="11" t="s">
        <v>14</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FFC000"/>
  </sheetPr>
  <dimension ref="A2:P29"/>
  <sheetViews>
    <sheetView workbookViewId="0">
      <selection activeCell="D17" sqref="D17"/>
    </sheetView>
  </sheetViews>
  <sheetFormatPr baseColWidth="10" defaultRowHeight="15"/>
  <cols>
    <col min="1" max="1" width="27.7109375" bestFit="1" customWidth="1"/>
    <col min="2" max="2" width="48" bestFit="1" customWidth="1"/>
    <col min="3" max="5" width="16.7109375" bestFit="1" customWidth="1"/>
    <col min="8" max="9" width="32.28515625" bestFit="1" customWidth="1"/>
    <col min="12" max="12" width="17.140625" bestFit="1" customWidth="1"/>
  </cols>
  <sheetData>
    <row r="2" spans="1:16">
      <c r="A2" t="s">
        <v>5</v>
      </c>
    </row>
    <row r="3" spans="1:16">
      <c r="C3" t="s">
        <v>4</v>
      </c>
      <c r="D3">
        <v>2020</v>
      </c>
      <c r="E3">
        <v>2025</v>
      </c>
      <c r="H3" s="10"/>
      <c r="I3" s="10"/>
      <c r="J3" s="10"/>
    </row>
    <row r="4" spans="1:16">
      <c r="A4" t="s">
        <v>100</v>
      </c>
      <c r="B4" t="s">
        <v>12</v>
      </c>
      <c r="C4" s="26">
        <f>aus_Eingabeparameter!$B10/aus_Eingabeparameter!$B5</f>
        <v>2559.9999996324409</v>
      </c>
      <c r="D4" s="44"/>
      <c r="E4" s="44"/>
      <c r="H4" s="10"/>
      <c r="I4" s="10"/>
      <c r="J4" s="10"/>
    </row>
    <row r="5" spans="1:16" s="52" customFormat="1">
      <c r="B5" s="52" t="s">
        <v>111</v>
      </c>
      <c r="C5" s="26">
        <f>IF(C13=0,C4,C6)</f>
        <v>2559.9999996324409</v>
      </c>
      <c r="D5" s="26">
        <f>C5*D6/$C$6</f>
        <v>2436.3615519395544</v>
      </c>
      <c r="E5" s="26">
        <f>C5*E6/$C$6</f>
        <v>2265.4286894575803</v>
      </c>
    </row>
    <row r="6" spans="1:16" s="6" customFormat="1">
      <c r="B6" s="6" t="s">
        <v>8</v>
      </c>
      <c r="C6" s="26">
        <f>SUM(C17:C18)/SUM(C13:C14)</f>
        <v>2263.0000000000005</v>
      </c>
      <c r="D6" s="26">
        <f>SUM(D17:D18)/SUM(D13:D14)</f>
        <v>2153.7055440745416</v>
      </c>
      <c r="E6" s="26">
        <f>SUM(E17:E18)/SUM(E13:E14)</f>
        <v>2002.6035644447579</v>
      </c>
      <c r="H6" s="10"/>
      <c r="I6" s="10"/>
      <c r="J6" s="10"/>
    </row>
    <row r="7" spans="1:16" s="6" customFormat="1">
      <c r="J7" s="10"/>
      <c r="K7" s="10"/>
      <c r="L7" s="10"/>
      <c r="M7" s="10"/>
      <c r="N7" s="10"/>
      <c r="O7" s="10"/>
      <c r="P7" s="10"/>
    </row>
    <row r="8" spans="1:16">
      <c r="A8" s="6" t="s">
        <v>100</v>
      </c>
      <c r="B8" t="s">
        <v>21</v>
      </c>
      <c r="G8" s="44"/>
      <c r="H8" s="44"/>
      <c r="I8" s="44"/>
      <c r="J8" s="44"/>
      <c r="K8" s="44"/>
      <c r="L8" s="10"/>
      <c r="M8" s="10"/>
      <c r="N8" s="10"/>
      <c r="O8" s="10"/>
      <c r="P8" s="10"/>
    </row>
    <row r="9" spans="1:16">
      <c r="A9" t="s">
        <v>6</v>
      </c>
      <c r="B9" t="s">
        <v>2</v>
      </c>
      <c r="C9" s="42">
        <f>C17/(aus_Eingabeparameter!B5 - 'Vollbenutzungsstunden RLM'!C18/'Vollbenutzungsstunden RLM'!C10)</f>
        <v>0</v>
      </c>
      <c r="D9" s="24">
        <f>C9</f>
        <v>0</v>
      </c>
      <c r="E9" s="24">
        <f>D9</f>
        <v>0</v>
      </c>
      <c r="G9" s="44"/>
      <c r="H9" s="44"/>
      <c r="I9" s="44"/>
      <c r="J9" s="44"/>
      <c r="K9" s="44"/>
      <c r="L9" s="10"/>
      <c r="M9" s="10"/>
      <c r="N9" s="10"/>
      <c r="O9" s="10"/>
      <c r="P9" s="10"/>
    </row>
    <row r="10" spans="1:16">
      <c r="B10" t="s">
        <v>10</v>
      </c>
      <c r="C10" s="24">
        <f>'Vollbenutzungsstunden SLP'!C28/'Vollbenutzungsstunden SLP'!C33</f>
        <v>2263.0000000000005</v>
      </c>
      <c r="D10" s="24">
        <f>'Vollbenutzungsstunden SLP'!D28/'Vollbenutzungsstunden SLP'!D33</f>
        <v>2153.7055440745416</v>
      </c>
      <c r="E10" s="24">
        <f>'Vollbenutzungsstunden SLP'!E28/'Vollbenutzungsstunden SLP'!E33</f>
        <v>2002.6035644447577</v>
      </c>
      <c r="G10" s="44"/>
      <c r="H10" s="44"/>
      <c r="I10" s="44"/>
      <c r="J10" s="44"/>
      <c r="K10" s="44"/>
      <c r="L10" s="10"/>
      <c r="M10" s="10"/>
      <c r="N10" s="10"/>
      <c r="O10" s="10"/>
      <c r="P10" s="10"/>
    </row>
    <row r="11" spans="1:16">
      <c r="A11" s="25"/>
      <c r="B11" s="10"/>
      <c r="C11" s="10"/>
      <c r="D11" s="10"/>
      <c r="E11" s="10"/>
      <c r="J11" s="10"/>
      <c r="K11" s="10"/>
      <c r="L11" s="10"/>
      <c r="M11" s="10"/>
      <c r="N11" s="10"/>
      <c r="O11" s="10"/>
      <c r="P11" s="10"/>
    </row>
    <row r="12" spans="1:16">
      <c r="A12" s="44"/>
      <c r="B12" s="44"/>
      <c r="C12" s="44" t="s">
        <v>4</v>
      </c>
      <c r="D12" s="44">
        <v>2020</v>
      </c>
      <c r="E12" s="44">
        <v>2025</v>
      </c>
      <c r="F12" s="44"/>
      <c r="J12" s="10"/>
      <c r="K12" s="10"/>
      <c r="L12" s="10"/>
      <c r="M12" s="10"/>
      <c r="N12" s="10"/>
      <c r="O12" s="10"/>
      <c r="P12" s="10"/>
    </row>
    <row r="13" spans="1:16">
      <c r="A13" s="44" t="s">
        <v>101</v>
      </c>
      <c r="B13" s="44" t="s">
        <v>2</v>
      </c>
      <c r="C13" s="127">
        <f>IF(ISNUMBER(C17/C9), C17/C9, 0)</f>
        <v>0</v>
      </c>
      <c r="D13" s="127">
        <f>IF($C$22=2,IF(ISNUMBER(D17/D9), D17/D9, 0),$C$13 *(aus_Eingabeparameter!G12*5+1))</f>
        <v>0</v>
      </c>
      <c r="E13" s="127">
        <f>IF($C$22=2,IF(ISNUMBER(E17/E9), E17/E9, 0),$C$13*(aus_Eingabeparameter!G12*10+1))</f>
        <v>0</v>
      </c>
      <c r="F13" s="44"/>
      <c r="J13" s="10"/>
      <c r="K13" s="10"/>
      <c r="L13" s="10"/>
      <c r="M13" s="10"/>
      <c r="N13" s="10"/>
      <c r="O13" s="10"/>
      <c r="P13" s="10"/>
    </row>
    <row r="14" spans="1:16">
      <c r="A14" s="44"/>
      <c r="B14" s="44" t="s">
        <v>10</v>
      </c>
      <c r="C14" s="127">
        <f>C18/C10</f>
        <v>41856.925417587263</v>
      </c>
      <c r="D14" s="127">
        <f>D18/D10</f>
        <v>37661.188797311916</v>
      </c>
      <c r="E14" s="127">
        <f>E18/E10</f>
        <v>34122.246931422225</v>
      </c>
      <c r="G14" s="46"/>
      <c r="J14" s="10"/>
      <c r="K14" s="10"/>
      <c r="L14" s="10"/>
      <c r="M14" s="10"/>
      <c r="N14" s="10"/>
      <c r="O14" s="10"/>
      <c r="P14" s="10"/>
    </row>
    <row r="15" spans="1:16" s="44" customFormat="1"/>
    <row r="16" spans="1:16">
      <c r="C16" s="6" t="s">
        <v>4</v>
      </c>
      <c r="D16" s="6">
        <v>2020</v>
      </c>
      <c r="E16" s="6">
        <v>2025</v>
      </c>
      <c r="J16" s="10"/>
      <c r="K16" s="10"/>
      <c r="L16" s="10"/>
      <c r="M16" s="10"/>
      <c r="N16" s="10"/>
      <c r="O16" s="10"/>
      <c r="P16" s="10"/>
    </row>
    <row r="17" spans="1:16">
      <c r="A17" t="s">
        <v>102</v>
      </c>
      <c r="B17" s="6" t="s">
        <v>2</v>
      </c>
      <c r="C17" s="127">
        <f>(1-aus_Eingabeparameter!B25) *aus_Eingabeparameter!B10</f>
        <v>0</v>
      </c>
      <c r="D17" s="127">
        <f>C17*(1+aus_Eingabeparameter!G3) *(aus_Eingabeparameter!G12*5+1)</f>
        <v>0</v>
      </c>
      <c r="E17" s="127">
        <f>C17*(1+aus_Eingabeparameter!H3)*(aus_Eingabeparameter!G12*10+1)</f>
        <v>0</v>
      </c>
      <c r="J17" s="10"/>
      <c r="K17" s="10"/>
      <c r="L17" s="10"/>
      <c r="M17" s="10"/>
      <c r="N17" s="10"/>
      <c r="O17" s="10"/>
      <c r="P17" s="10"/>
    </row>
    <row r="18" spans="1:16">
      <c r="B18" s="6" t="s">
        <v>10</v>
      </c>
      <c r="C18" s="127">
        <f>aus_Eingabeparameter!B25*aus_Eingabeparameter!B10</f>
        <v>94722222.219999999</v>
      </c>
      <c r="D18" s="127">
        <f>C18*(1+aus_Eingabeparameter!G5) *(aus_Eingabeparameter!G15*5+1)</f>
        <v>81111111.109208688</v>
      </c>
      <c r="E18" s="127">
        <f>C18*(1+aus_Eingabeparameter!H5) *(aus_Eingabeparameter!G15*10+1)</f>
        <v>68333333.331730351</v>
      </c>
      <c r="G18" s="46"/>
      <c r="J18" s="10"/>
      <c r="K18" s="10"/>
      <c r="L18" s="10"/>
      <c r="M18" s="10"/>
      <c r="N18" s="10"/>
      <c r="O18" s="10"/>
      <c r="P18" s="10"/>
    </row>
    <row r="19" spans="1:16" s="10" customFormat="1"/>
    <row r="20" spans="1:16" s="10" customFormat="1" ht="15.75" thickBot="1"/>
    <row r="21" spans="1:16">
      <c r="A21" s="130"/>
      <c r="B21" s="61" t="s">
        <v>121</v>
      </c>
      <c r="C21" s="131" t="s">
        <v>120</v>
      </c>
      <c r="D21" s="6"/>
      <c r="E21" s="6"/>
    </row>
    <row r="22" spans="1:16" ht="15.75" thickBot="1">
      <c r="A22" s="132" t="s">
        <v>119</v>
      </c>
      <c r="B22" s="133" t="str">
        <f>VLOOKUP(aus_Eingabeparameter!G34,aus_Eingabeparameter!F29:G31,2,FALSE)</f>
        <v>Keine Berechnung möglich, bitte Auswahl treffen!</v>
      </c>
      <c r="C22" s="134">
        <f>aus_Eingabeparameter!G34</f>
        <v>1</v>
      </c>
      <c r="D22" s="6"/>
      <c r="E22" s="6"/>
    </row>
    <row r="26" spans="1:16">
      <c r="A26" s="19" t="s">
        <v>7</v>
      </c>
      <c r="C26" s="44"/>
      <c r="D26" s="44"/>
      <c r="E26" s="44"/>
    </row>
    <row r="27" spans="1:16">
      <c r="A27" s="20" t="s">
        <v>11</v>
      </c>
    </row>
    <row r="28" spans="1:16">
      <c r="A28" s="21" t="s">
        <v>13</v>
      </c>
      <c r="B28" s="10"/>
      <c r="C28" s="10"/>
      <c r="D28" s="10"/>
      <c r="E28" s="10"/>
      <c r="F28" s="10"/>
    </row>
    <row r="29" spans="1:16">
      <c r="A29" s="11" t="s">
        <v>14</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FFC000"/>
  </sheetPr>
  <dimension ref="A1:BH103"/>
  <sheetViews>
    <sheetView workbookViewId="0">
      <selection activeCell="B11" sqref="B11"/>
    </sheetView>
  </sheetViews>
  <sheetFormatPr baseColWidth="10" defaultRowHeight="15"/>
  <cols>
    <col min="1" max="1" width="22.28515625" bestFit="1" customWidth="1"/>
    <col min="2" max="2" width="32" bestFit="1" customWidth="1"/>
    <col min="4" max="4" width="13.85546875" bestFit="1" customWidth="1"/>
    <col min="5" max="5" width="12.85546875" style="10" bestFit="1" customWidth="1"/>
    <col min="6" max="6" width="13.85546875" bestFit="1" customWidth="1"/>
    <col min="7" max="7" width="13.5703125" style="10" bestFit="1" customWidth="1"/>
    <col min="8" max="8" width="14.42578125" bestFit="1" customWidth="1"/>
    <col min="9" max="9" width="13.42578125" style="10" bestFit="1" customWidth="1"/>
    <col min="10" max="10" width="13.85546875" bestFit="1" customWidth="1"/>
    <col min="11" max="11" width="12.85546875" style="10" bestFit="1" customWidth="1"/>
    <col min="12" max="12" width="13.85546875" bestFit="1" customWidth="1"/>
    <col min="13" max="13" width="13.5703125" style="10" bestFit="1" customWidth="1"/>
    <col min="14" max="14" width="14.42578125" bestFit="1" customWidth="1"/>
    <col min="15" max="15" width="13.42578125" style="10" bestFit="1" customWidth="1"/>
    <col min="16" max="16" width="13.85546875" bestFit="1" customWidth="1"/>
    <col min="17" max="17" width="12.85546875" style="10" bestFit="1" customWidth="1"/>
    <col min="18" max="18" width="13.85546875" bestFit="1" customWidth="1"/>
    <col min="19" max="19" width="13.5703125" style="10" bestFit="1" customWidth="1"/>
    <col min="20" max="20" width="14.42578125" bestFit="1" customWidth="1"/>
    <col min="21" max="21" width="13.42578125" style="10" bestFit="1" customWidth="1"/>
    <col min="58" max="58" width="11.42578125" style="36"/>
    <col min="59" max="59" width="20.85546875" bestFit="1" customWidth="1"/>
  </cols>
  <sheetData>
    <row r="1" spans="1:60">
      <c r="L1" s="10"/>
      <c r="N1" s="10"/>
      <c r="R1" s="10"/>
      <c r="T1" s="10"/>
      <c r="W1" s="52"/>
      <c r="X1" s="52"/>
      <c r="Y1" s="52"/>
      <c r="Z1" s="52"/>
      <c r="AA1" s="52"/>
    </row>
    <row r="2" spans="1:60">
      <c r="B2" t="s">
        <v>133</v>
      </c>
      <c r="D2" s="35" t="s">
        <v>34</v>
      </c>
      <c r="E2" s="35"/>
      <c r="F2" s="35"/>
      <c r="G2" s="35"/>
      <c r="H2" s="35"/>
      <c r="I2" s="35"/>
      <c r="J2" s="35"/>
      <c r="K2" s="35"/>
      <c r="L2" s="35"/>
      <c r="M2" s="35"/>
      <c r="N2" s="35"/>
      <c r="O2" s="35"/>
      <c r="P2" s="35"/>
      <c r="Q2" s="35"/>
      <c r="R2" s="35"/>
      <c r="S2" s="35"/>
      <c r="T2" s="35"/>
      <c r="U2" s="35"/>
      <c r="V2" s="35" t="s">
        <v>35</v>
      </c>
      <c r="W2" s="35"/>
      <c r="X2" s="35"/>
      <c r="Y2" s="35"/>
      <c r="Z2" s="35"/>
      <c r="AA2" s="35"/>
      <c r="AB2" s="35"/>
      <c r="AC2" s="35"/>
      <c r="AD2" s="35"/>
      <c r="AE2" s="35"/>
      <c r="AF2" s="35"/>
      <c r="AG2" s="35"/>
      <c r="AH2" s="35"/>
      <c r="AI2" s="35"/>
      <c r="AJ2" s="35"/>
      <c r="AK2" s="35"/>
      <c r="AL2" s="35"/>
      <c r="AM2" s="35"/>
      <c r="AN2" s="35" t="s">
        <v>36</v>
      </c>
      <c r="AO2" s="35"/>
      <c r="AP2" s="35"/>
      <c r="AQ2" s="35"/>
      <c r="AR2" s="35"/>
      <c r="AS2" s="35"/>
      <c r="AT2" s="35"/>
      <c r="AU2" s="35"/>
      <c r="AV2" s="35"/>
      <c r="AW2" s="35"/>
      <c r="AX2" s="35"/>
      <c r="AY2" s="35"/>
      <c r="AZ2" s="35"/>
      <c r="BA2" s="35"/>
      <c r="BB2" s="35"/>
      <c r="BC2" s="35"/>
      <c r="BD2" s="35"/>
      <c r="BE2" s="35"/>
    </row>
    <row r="3" spans="1:60">
      <c r="C3" t="s">
        <v>33</v>
      </c>
      <c r="D3" s="35" t="s">
        <v>103</v>
      </c>
      <c r="E3" s="35"/>
      <c r="F3" s="35"/>
      <c r="G3" s="35"/>
      <c r="H3" s="35"/>
      <c r="I3" s="35"/>
      <c r="J3" s="35"/>
      <c r="K3" s="35"/>
      <c r="L3" s="35"/>
      <c r="M3" s="35" t="s">
        <v>101</v>
      </c>
      <c r="N3" s="35"/>
      <c r="O3" s="35"/>
      <c r="P3" s="35"/>
      <c r="Q3" s="35"/>
      <c r="R3" s="35"/>
      <c r="S3" s="35"/>
      <c r="T3" s="35"/>
      <c r="U3" s="35"/>
      <c r="V3" s="52" t="s">
        <v>103</v>
      </c>
      <c r="W3" s="52"/>
      <c r="X3" s="52"/>
      <c r="Y3" s="52"/>
      <c r="Z3" s="52"/>
      <c r="AA3" s="52"/>
      <c r="AB3" s="52"/>
      <c r="AC3" s="52"/>
      <c r="AD3" s="52"/>
      <c r="AE3" s="52" t="s">
        <v>101</v>
      </c>
      <c r="AF3" s="35"/>
      <c r="AG3" s="35"/>
      <c r="AH3" s="35"/>
      <c r="AI3" s="35"/>
      <c r="AJ3" s="35"/>
      <c r="AK3" s="35"/>
      <c r="AL3" s="35"/>
      <c r="AM3" s="35"/>
      <c r="AN3" s="52" t="s">
        <v>103</v>
      </c>
      <c r="AO3" s="52"/>
      <c r="AP3" s="52"/>
      <c r="AQ3" s="52"/>
      <c r="AR3" s="52"/>
      <c r="AS3" s="52"/>
      <c r="AT3" s="52"/>
      <c r="AU3" s="52"/>
      <c r="AV3" s="52"/>
      <c r="AW3" s="52" t="s">
        <v>101</v>
      </c>
      <c r="AX3" s="35"/>
      <c r="AY3" s="35"/>
      <c r="AZ3" s="35"/>
      <c r="BA3" s="35"/>
      <c r="BB3" s="35"/>
      <c r="BC3" s="35"/>
      <c r="BD3" s="35"/>
      <c r="BE3" s="35"/>
      <c r="BG3" t="s">
        <v>104</v>
      </c>
    </row>
    <row r="4" spans="1:60" s="32" customFormat="1">
      <c r="A4" s="32" t="s">
        <v>38</v>
      </c>
      <c r="D4" s="35" t="s">
        <v>15</v>
      </c>
      <c r="E4" s="35"/>
      <c r="F4" s="35"/>
      <c r="G4" s="35" t="s">
        <v>16</v>
      </c>
      <c r="H4" s="35"/>
      <c r="I4" s="35"/>
      <c r="J4" s="35" t="s">
        <v>37</v>
      </c>
      <c r="K4" s="35"/>
      <c r="L4" s="35"/>
      <c r="M4" s="35" t="s">
        <v>15</v>
      </c>
      <c r="N4" s="35"/>
      <c r="O4" s="35"/>
      <c r="P4" s="35" t="s">
        <v>16</v>
      </c>
      <c r="Q4" s="35"/>
      <c r="R4" s="35"/>
      <c r="S4" s="35" t="s">
        <v>37</v>
      </c>
      <c r="T4" s="35"/>
      <c r="U4" s="35"/>
      <c r="V4" s="35" t="s">
        <v>15</v>
      </c>
      <c r="W4" s="35"/>
      <c r="X4" s="35"/>
      <c r="Y4" s="35" t="s">
        <v>16</v>
      </c>
      <c r="Z4" s="35"/>
      <c r="AA4" s="35"/>
      <c r="AB4" s="35" t="s">
        <v>37</v>
      </c>
      <c r="AC4" s="35"/>
      <c r="AD4" s="35"/>
      <c r="AE4" s="35" t="s">
        <v>15</v>
      </c>
      <c r="AF4" s="35"/>
      <c r="AG4" s="35"/>
      <c r="AH4" s="35" t="s">
        <v>16</v>
      </c>
      <c r="AI4" s="35"/>
      <c r="AJ4" s="35"/>
      <c r="AK4" s="35" t="s">
        <v>37</v>
      </c>
      <c r="AL4" s="35"/>
      <c r="AM4" s="35"/>
      <c r="AN4" s="35" t="s">
        <v>15</v>
      </c>
      <c r="AO4" s="35"/>
      <c r="AP4" s="35"/>
      <c r="AQ4" s="35" t="s">
        <v>16</v>
      </c>
      <c r="AR4" s="35"/>
      <c r="AS4" s="35"/>
      <c r="AT4" s="35" t="s">
        <v>37</v>
      </c>
      <c r="AU4" s="35"/>
      <c r="AV4" s="35"/>
      <c r="AW4" s="35" t="s">
        <v>15</v>
      </c>
      <c r="AX4" s="35"/>
      <c r="AY4" s="35"/>
      <c r="AZ4" s="35" t="s">
        <v>16</v>
      </c>
      <c r="BA4" s="35"/>
      <c r="BB4" s="35"/>
      <c r="BC4" s="35" t="s">
        <v>37</v>
      </c>
      <c r="BD4" s="35"/>
      <c r="BE4" s="35"/>
      <c r="BF4" s="36"/>
    </row>
    <row r="5" spans="1:60">
      <c r="A5" s="5">
        <f>aus_Eingabeparameter!H22</f>
        <v>1</v>
      </c>
      <c r="B5" s="34"/>
      <c r="D5" s="35">
        <v>2015</v>
      </c>
      <c r="E5" s="35">
        <v>2020</v>
      </c>
      <c r="F5" s="35">
        <v>2025</v>
      </c>
      <c r="G5" s="35">
        <v>2015</v>
      </c>
      <c r="H5" s="35">
        <v>2020</v>
      </c>
      <c r="I5" s="35">
        <v>2025</v>
      </c>
      <c r="J5" s="35">
        <v>2015</v>
      </c>
      <c r="K5" s="35">
        <v>2020</v>
      </c>
      <c r="L5" s="35">
        <v>2025</v>
      </c>
      <c r="M5" s="35">
        <v>2015</v>
      </c>
      <c r="N5" s="35">
        <v>2020</v>
      </c>
      <c r="O5" s="35">
        <v>2025</v>
      </c>
      <c r="P5" s="35">
        <v>2015</v>
      </c>
      <c r="Q5" s="35">
        <v>2020</v>
      </c>
      <c r="R5" s="35">
        <v>2025</v>
      </c>
      <c r="S5" s="35">
        <v>2015</v>
      </c>
      <c r="T5" s="35">
        <v>2020</v>
      </c>
      <c r="U5" s="35">
        <v>2025</v>
      </c>
      <c r="V5" s="35">
        <v>2015</v>
      </c>
      <c r="W5" s="35">
        <v>2020</v>
      </c>
      <c r="X5" s="35">
        <v>2025</v>
      </c>
      <c r="Y5" s="35">
        <v>2015</v>
      </c>
      <c r="Z5" s="35">
        <v>2020</v>
      </c>
      <c r="AA5" s="35">
        <v>2025</v>
      </c>
      <c r="AB5" s="35">
        <v>2015</v>
      </c>
      <c r="AC5" s="35">
        <v>2020</v>
      </c>
      <c r="AD5" s="35">
        <v>2025</v>
      </c>
      <c r="AE5" s="35">
        <v>2015</v>
      </c>
      <c r="AF5" s="35">
        <v>2020</v>
      </c>
      <c r="AG5" s="35">
        <v>2025</v>
      </c>
      <c r="AH5" s="35">
        <v>2015</v>
      </c>
      <c r="AI5" s="35">
        <v>2020</v>
      </c>
      <c r="AJ5" s="35">
        <v>2025</v>
      </c>
      <c r="AK5" s="35">
        <v>2015</v>
      </c>
      <c r="AL5" s="35">
        <v>2020</v>
      </c>
      <c r="AM5" s="35">
        <v>2025</v>
      </c>
      <c r="AN5" s="35">
        <v>2015</v>
      </c>
      <c r="AO5" s="35">
        <v>2020</v>
      </c>
      <c r="AP5" s="35">
        <v>2025</v>
      </c>
      <c r="AQ5" s="35">
        <v>2015</v>
      </c>
      <c r="AR5" s="35">
        <v>2020</v>
      </c>
      <c r="AS5" s="35">
        <v>2025</v>
      </c>
      <c r="AT5" s="35">
        <v>2015</v>
      </c>
      <c r="AU5" s="35">
        <v>2020</v>
      </c>
      <c r="AV5" s="35">
        <v>2025</v>
      </c>
      <c r="AW5" s="35">
        <v>2015</v>
      </c>
      <c r="AX5" s="35">
        <v>2020</v>
      </c>
      <c r="AY5" s="35">
        <v>2025</v>
      </c>
      <c r="AZ5" s="35">
        <v>2015</v>
      </c>
      <c r="BA5" s="35">
        <v>2020</v>
      </c>
      <c r="BB5" s="35">
        <v>2025</v>
      </c>
      <c r="BC5" s="35">
        <v>2015</v>
      </c>
      <c r="BD5" s="35">
        <v>2020</v>
      </c>
      <c r="BE5" s="35">
        <v>2025</v>
      </c>
      <c r="BG5" t="s">
        <v>15</v>
      </c>
      <c r="BH5" t="s">
        <v>16</v>
      </c>
    </row>
    <row r="6" spans="1:60">
      <c r="A6" t="s">
        <v>39</v>
      </c>
      <c r="B6" s="34"/>
      <c r="C6" s="22">
        <v>0</v>
      </c>
      <c r="D6" s="33">
        <f>V6+$A$5*AN6</f>
        <v>132906.08826665688</v>
      </c>
      <c r="E6" s="33">
        <f t="shared" ref="E6:F21" si="0">W6+$A$5*AO6</f>
        <v>127330.1452867888</v>
      </c>
      <c r="F6" s="33">
        <f t="shared" si="0"/>
        <v>114519.82740832916</v>
      </c>
      <c r="G6" s="33">
        <f>Y6+$A$7*AQ6</f>
        <v>97788.356362343038</v>
      </c>
      <c r="H6" s="33">
        <f>Z6+$A$7*AR6</f>
        <v>93118.485463522098</v>
      </c>
      <c r="I6" s="33">
        <f>AA6+$A$7*AS6</f>
        <v>82699.556937263187</v>
      </c>
      <c r="J6" s="41">
        <v>2263.0000000000005</v>
      </c>
      <c r="K6" s="41">
        <v>1867.8747466278669</v>
      </c>
      <c r="L6" s="41">
        <v>1487.8553448017931</v>
      </c>
      <c r="M6" s="33">
        <f>AE6+$A$5*AW6</f>
        <v>58.730043423180234</v>
      </c>
      <c r="N6" s="33">
        <f t="shared" ref="N6:N69" si="1">AF6+$A$5*AX6</f>
        <v>58.24543213660499</v>
      </c>
      <c r="O6" s="33">
        <f t="shared" ref="O6:O69" si="2">AG6+$A$5*AY6</f>
        <v>56.377058530908116</v>
      </c>
      <c r="P6" s="33">
        <f>AH6+$A$7*AZ6</f>
        <v>43.211823403598338</v>
      </c>
      <c r="Q6" s="33">
        <f>AI6+$A$7*BA6</f>
        <v>42.383801032651427</v>
      </c>
      <c r="R6" s="33">
        <f>AJ6+$A$7*BB6</f>
        <v>40.080407225672325</v>
      </c>
      <c r="S6" s="41">
        <v>1</v>
      </c>
      <c r="T6" s="41">
        <v>0.86728417994136808</v>
      </c>
      <c r="U6" s="41">
        <v>0.74296049963054778</v>
      </c>
      <c r="V6" s="38">
        <v>132906.08826665688</v>
      </c>
      <c r="W6" s="38">
        <v>125595.8205247921</v>
      </c>
      <c r="X6" s="38">
        <v>111833.16429134412</v>
      </c>
      <c r="Y6" s="38">
        <v>97788.356362343038</v>
      </c>
      <c r="Z6" s="38">
        <v>91603.572650233094</v>
      </c>
      <c r="AA6" s="38">
        <v>80352.255445169634</v>
      </c>
      <c r="AB6" s="43"/>
      <c r="AC6" s="43"/>
      <c r="AD6" s="43"/>
      <c r="AE6" s="38">
        <v>58.730043423180234</v>
      </c>
      <c r="AF6" s="38">
        <v>57.281918379940151</v>
      </c>
      <c r="AG6" s="38">
        <v>54.884467910360868</v>
      </c>
      <c r="AH6" s="38">
        <v>43.211823403598338</v>
      </c>
      <c r="AI6" s="38">
        <v>41.542182803046423</v>
      </c>
      <c r="AJ6" s="38">
        <v>38.732502232515856</v>
      </c>
      <c r="AK6" s="44"/>
      <c r="AL6" s="44"/>
      <c r="AM6" s="44"/>
      <c r="AN6" s="39">
        <v>0</v>
      </c>
      <c r="AO6" s="39">
        <v>1734.3247619967067</v>
      </c>
      <c r="AP6" s="39">
        <v>2686.6631169850402</v>
      </c>
      <c r="AQ6" s="39">
        <v>0</v>
      </c>
      <c r="AR6" s="39">
        <v>1514.9128132890041</v>
      </c>
      <c r="AS6" s="39">
        <v>2347.3014920935566</v>
      </c>
      <c r="AT6" s="43"/>
      <c r="AU6" s="43"/>
      <c r="AV6" s="43"/>
      <c r="AW6" s="39">
        <v>0</v>
      </c>
      <c r="AX6" s="39">
        <v>0.96351375666483718</v>
      </c>
      <c r="AY6" s="39">
        <v>1.4925906205472448</v>
      </c>
      <c r="AZ6" s="39">
        <v>0</v>
      </c>
      <c r="BA6" s="39">
        <v>0.84161822960500221</v>
      </c>
      <c r="BB6" s="39">
        <v>1.3479049931564702</v>
      </c>
      <c r="BC6" s="44"/>
      <c r="BD6" s="44"/>
      <c r="BE6" s="44"/>
      <c r="BG6" s="40">
        <v>7.4077728416668803E-3</v>
      </c>
      <c r="BH6" s="40">
        <v>7.4533949626475523E-3</v>
      </c>
    </row>
    <row r="7" spans="1:60">
      <c r="A7" s="5">
        <f>aus_Eingabeparameter!H24</f>
        <v>1</v>
      </c>
      <c r="B7" s="34"/>
      <c r="C7" s="22">
        <v>1</v>
      </c>
      <c r="D7" s="33">
        <f t="shared" ref="D7:D70" si="3">V7+$A$5*AN7</f>
        <v>1243.7309981470742</v>
      </c>
      <c r="E7" s="33">
        <f t="shared" si="0"/>
        <v>1203.7654291356637</v>
      </c>
      <c r="F7" s="33">
        <f t="shared" si="0"/>
        <v>1109.1145347849153</v>
      </c>
      <c r="G7" s="33">
        <f t="shared" ref="G7:I70" si="4">Y7+$A$7*AQ7</f>
        <v>1905.7290511304757</v>
      </c>
      <c r="H7" s="33">
        <f t="shared" si="4"/>
        <v>1825.5013390113306</v>
      </c>
      <c r="I7" s="33">
        <f t="shared" si="4"/>
        <v>1644.8798296145378</v>
      </c>
      <c r="J7" s="41">
        <v>2263.0000000000005</v>
      </c>
      <c r="K7" s="41">
        <v>1867.8747466278669</v>
      </c>
      <c r="L7" s="41">
        <v>1487.8553448017931</v>
      </c>
      <c r="M7" s="33">
        <f t="shared" ref="M7:M70" si="5">AE7+$A$5*AW7</f>
        <v>0.54959390108134065</v>
      </c>
      <c r="N7" s="33">
        <f t="shared" si="1"/>
        <v>0.54688475945508286</v>
      </c>
      <c r="O7" s="33">
        <f t="shared" si="2"/>
        <v>0.53316342421717344</v>
      </c>
      <c r="P7" s="33">
        <f t="shared" ref="P7:P70" si="6">AH7+$A$7*AZ7</f>
        <v>0.84212507783052382</v>
      </c>
      <c r="Q7" s="33">
        <f t="shared" ref="Q7:Q70" si="7">AI7+$A$7*BA7</f>
        <v>0.82824089153309111</v>
      </c>
      <c r="R7" s="33">
        <f t="shared" ref="R7:R70" si="8">AJ7+$A$7*BB7</f>
        <v>0.78819587880347086</v>
      </c>
      <c r="S7" s="41">
        <v>1</v>
      </c>
      <c r="T7" s="41">
        <v>0.86728417994136808</v>
      </c>
      <c r="U7" s="41">
        <v>0.74296049963054778</v>
      </c>
      <c r="V7" s="38">
        <v>1243.7309981470742</v>
      </c>
      <c r="W7" s="38">
        <v>1187.5958485419185</v>
      </c>
      <c r="X7" s="38">
        <v>1084.1781644734456</v>
      </c>
      <c r="Y7" s="38">
        <v>1905.7290511304757</v>
      </c>
      <c r="Z7" s="38">
        <v>1796.4459363308476</v>
      </c>
      <c r="AA7" s="38">
        <v>1600.0480721937749</v>
      </c>
      <c r="AB7" s="43"/>
      <c r="AC7" s="43"/>
      <c r="AD7" s="43"/>
      <c r="AE7" s="38">
        <v>0.54959390108134065</v>
      </c>
      <c r="AF7" s="38">
        <v>0.53790165912522436</v>
      </c>
      <c r="AG7" s="38">
        <v>0.51930988515524579</v>
      </c>
      <c r="AH7" s="38">
        <v>0.84212507783052382</v>
      </c>
      <c r="AI7" s="38">
        <v>0.81209900115504507</v>
      </c>
      <c r="AJ7" s="38">
        <v>0.76245187025451822</v>
      </c>
      <c r="AK7" s="44"/>
      <c r="AL7" s="44"/>
      <c r="AM7" s="44"/>
      <c r="AN7" s="39">
        <v>0</v>
      </c>
      <c r="AO7" s="39">
        <v>16.169580593745234</v>
      </c>
      <c r="AP7" s="39">
        <v>24.936370311469851</v>
      </c>
      <c r="AQ7" s="39">
        <v>0</v>
      </c>
      <c r="AR7" s="39">
        <v>29.055402680482878</v>
      </c>
      <c r="AS7" s="39">
        <v>44.831757420762798</v>
      </c>
      <c r="AT7" s="43"/>
      <c r="AU7" s="43"/>
      <c r="AV7" s="43"/>
      <c r="AW7" s="39">
        <v>0</v>
      </c>
      <c r="AX7" s="39">
        <v>8.9831003298584643E-3</v>
      </c>
      <c r="AY7" s="39">
        <v>1.3853539061927694E-2</v>
      </c>
      <c r="AZ7" s="39">
        <v>0</v>
      </c>
      <c r="BA7" s="39">
        <v>1.6141890378046041E-2</v>
      </c>
      <c r="BB7" s="39">
        <v>2.5744008548952636E-2</v>
      </c>
      <c r="BC7" s="44"/>
      <c r="BD7" s="44"/>
      <c r="BE7" s="44"/>
      <c r="BG7" s="40">
        <v>7.2792149891486579E-3</v>
      </c>
      <c r="BH7" s="40">
        <v>7.3323885457798003E-3</v>
      </c>
    </row>
    <row r="8" spans="1:60">
      <c r="B8" s="34"/>
      <c r="C8" s="22">
        <v>2</v>
      </c>
      <c r="D8" s="33">
        <f t="shared" si="3"/>
        <v>665.00613821356001</v>
      </c>
      <c r="E8" s="33">
        <f t="shared" si="0"/>
        <v>642.09662746026777</v>
      </c>
      <c r="F8" s="33">
        <f t="shared" si="0"/>
        <v>588.53701533432002</v>
      </c>
      <c r="G8" s="33">
        <f t="shared" si="4"/>
        <v>625.49151292997169</v>
      </c>
      <c r="H8" s="33">
        <f t="shared" si="4"/>
        <v>598.60429238254972</v>
      </c>
      <c r="I8" s="33">
        <f t="shared" si="4"/>
        <v>538.3642201657093</v>
      </c>
      <c r="J8" s="41">
        <v>2263.0000000000005</v>
      </c>
      <c r="K8" s="41">
        <v>1867.8747466278669</v>
      </c>
      <c r="L8" s="41">
        <v>1487.8553448017931</v>
      </c>
      <c r="M8" s="33">
        <f t="shared" si="5"/>
        <v>0.29386042342623059</v>
      </c>
      <c r="N8" s="33">
        <f t="shared" si="1"/>
        <v>0.2920883034304077</v>
      </c>
      <c r="O8" s="33">
        <f t="shared" si="2"/>
        <v>0.28421244195208201</v>
      </c>
      <c r="P8" s="33">
        <f t="shared" si="6"/>
        <v>0.27639925449844077</v>
      </c>
      <c r="Q8" s="33">
        <f t="shared" si="7"/>
        <v>0.27157429751208784</v>
      </c>
      <c r="R8" s="33">
        <f t="shared" si="8"/>
        <v>0.25797655573251804</v>
      </c>
      <c r="S8" s="41">
        <v>1</v>
      </c>
      <c r="T8" s="41">
        <v>0.86728417994136808</v>
      </c>
      <c r="U8" s="41">
        <v>0.74296049963054778</v>
      </c>
      <c r="V8" s="38">
        <v>665.00613821356001</v>
      </c>
      <c r="W8" s="38">
        <v>633.62835319953388</v>
      </c>
      <c r="X8" s="38">
        <v>575.51449645932996</v>
      </c>
      <c r="Y8" s="38">
        <v>625.49151292997169</v>
      </c>
      <c r="Z8" s="38">
        <v>589.21053601559265</v>
      </c>
      <c r="AA8" s="38">
        <v>523.91100750012163</v>
      </c>
      <c r="AB8" s="43"/>
      <c r="AC8" s="43"/>
      <c r="AD8" s="43"/>
      <c r="AE8" s="38">
        <v>0.29386042342623059</v>
      </c>
      <c r="AF8" s="38">
        <v>0.28738370661888885</v>
      </c>
      <c r="AG8" s="38">
        <v>0.2769777092437542</v>
      </c>
      <c r="AH8" s="38">
        <v>0.27639925449844077</v>
      </c>
      <c r="AI8" s="38">
        <v>0.26635554397488947</v>
      </c>
      <c r="AJ8" s="38">
        <v>0.2496770008671895</v>
      </c>
      <c r="AK8" s="44"/>
      <c r="AL8" s="44"/>
      <c r="AM8" s="44"/>
      <c r="AN8" s="39">
        <v>0</v>
      </c>
      <c r="AO8" s="39">
        <v>8.4682742607339172</v>
      </c>
      <c r="AP8" s="39">
        <v>13.022518874990007</v>
      </c>
      <c r="AQ8" s="39">
        <v>0</v>
      </c>
      <c r="AR8" s="39">
        <v>9.3937563669570956</v>
      </c>
      <c r="AS8" s="39">
        <v>14.453212665587705</v>
      </c>
      <c r="AT8" s="43"/>
      <c r="AU8" s="43"/>
      <c r="AV8" s="43"/>
      <c r="AW8" s="39">
        <v>0</v>
      </c>
      <c r="AX8" s="39">
        <v>4.7045968115188436E-3</v>
      </c>
      <c r="AY8" s="39">
        <v>7.2347327083277825E-3</v>
      </c>
      <c r="AZ8" s="39">
        <v>0</v>
      </c>
      <c r="BA8" s="39">
        <v>5.2187535371983843E-3</v>
      </c>
      <c r="BB8" s="39">
        <v>8.2995548653285317E-3</v>
      </c>
      <c r="BC8" s="44"/>
      <c r="BD8" s="44"/>
      <c r="BE8" s="44"/>
      <c r="BG8" s="40">
        <v>7.1758544849111466E-3</v>
      </c>
      <c r="BH8" s="40">
        <v>7.2282843907909271E-3</v>
      </c>
    </row>
    <row r="9" spans="1:60">
      <c r="B9" s="34"/>
      <c r="C9" s="22">
        <v>3</v>
      </c>
      <c r="D9" s="33">
        <f t="shared" si="3"/>
        <v>431.13933344133329</v>
      </c>
      <c r="E9" s="33">
        <f t="shared" si="0"/>
        <v>414.39376262452402</v>
      </c>
      <c r="F9" s="33">
        <f t="shared" si="0"/>
        <v>375.29206669941942</v>
      </c>
      <c r="G9" s="33">
        <f t="shared" si="4"/>
        <v>408.25677114347889</v>
      </c>
      <c r="H9" s="33">
        <f t="shared" si="4"/>
        <v>388.77527784752601</v>
      </c>
      <c r="I9" s="33">
        <f t="shared" si="4"/>
        <v>345.17586288767001</v>
      </c>
      <c r="J9" s="41">
        <v>2263.0000000000005</v>
      </c>
      <c r="K9" s="41">
        <v>1867.8747466278669</v>
      </c>
      <c r="L9" s="41">
        <v>1487.8553448017931</v>
      </c>
      <c r="M9" s="33">
        <f t="shared" si="5"/>
        <v>0.1905167182683753</v>
      </c>
      <c r="N9" s="33">
        <f t="shared" si="1"/>
        <v>0.18927729873956967</v>
      </c>
      <c r="O9" s="33">
        <f t="shared" si="2"/>
        <v>0.18372570723521497</v>
      </c>
      <c r="P9" s="33">
        <f t="shared" si="6"/>
        <v>0.18040511318757349</v>
      </c>
      <c r="Q9" s="33">
        <f t="shared" si="7"/>
        <v>0.17709045858873829</v>
      </c>
      <c r="R9" s="33">
        <f t="shared" si="8"/>
        <v>0.16769010860201655</v>
      </c>
      <c r="S9" s="41">
        <v>1</v>
      </c>
      <c r="T9" s="41">
        <v>0.86728417994136808</v>
      </c>
      <c r="U9" s="41">
        <v>0.74296049963054778</v>
      </c>
      <c r="V9" s="38">
        <v>431.13933344133329</v>
      </c>
      <c r="W9" s="38">
        <v>408.60149418477209</v>
      </c>
      <c r="X9" s="38">
        <v>366.38808841124666</v>
      </c>
      <c r="Y9" s="38">
        <v>408.25677114347889</v>
      </c>
      <c r="Z9" s="38">
        <v>382.41166261897081</v>
      </c>
      <c r="AA9" s="38">
        <v>335.38852843239067</v>
      </c>
      <c r="AB9" s="43"/>
      <c r="AC9" s="43"/>
      <c r="AD9" s="43"/>
      <c r="AE9" s="38">
        <v>0.1905167182683753</v>
      </c>
      <c r="AF9" s="38">
        <v>0.18605937182859639</v>
      </c>
      <c r="AG9" s="38">
        <v>0.17877905263067453</v>
      </c>
      <c r="AH9" s="38">
        <v>0.18040511318757349</v>
      </c>
      <c r="AI9" s="38">
        <v>0.1735551167950965</v>
      </c>
      <c r="AJ9" s="38">
        <v>0.16206986892407171</v>
      </c>
      <c r="AK9" s="44"/>
      <c r="AL9" s="44"/>
      <c r="AM9" s="44"/>
      <c r="AN9" s="39">
        <v>0</v>
      </c>
      <c r="AO9" s="39">
        <v>5.792268439751922</v>
      </c>
      <c r="AP9" s="39">
        <v>8.9039782881727749</v>
      </c>
      <c r="AQ9" s="39">
        <v>0</v>
      </c>
      <c r="AR9" s="39">
        <v>6.3636152285552319</v>
      </c>
      <c r="AS9" s="39">
        <v>9.7873344552793089</v>
      </c>
      <c r="AT9" s="43"/>
      <c r="AU9" s="43"/>
      <c r="AV9" s="43"/>
      <c r="AW9" s="39">
        <v>0</v>
      </c>
      <c r="AX9" s="39">
        <v>3.217926910973291E-3</v>
      </c>
      <c r="AY9" s="39">
        <v>4.9466546045404299E-3</v>
      </c>
      <c r="AZ9" s="39">
        <v>0</v>
      </c>
      <c r="BA9" s="39">
        <v>3.5353417936417946E-3</v>
      </c>
      <c r="BB9" s="39">
        <v>5.6202396779448426E-3</v>
      </c>
      <c r="BC9" s="44"/>
      <c r="BD9" s="44"/>
      <c r="BE9" s="44"/>
      <c r="BG9" s="40">
        <v>7.1783061417937163E-3</v>
      </c>
      <c r="BH9" s="40">
        <v>7.2307554828195744E-3</v>
      </c>
    </row>
    <row r="10" spans="1:60">
      <c r="A10" s="52"/>
      <c r="B10" s="34"/>
      <c r="C10" s="22">
        <v>4</v>
      </c>
      <c r="D10" s="33">
        <f t="shared" si="3"/>
        <v>1338.1501932980175</v>
      </c>
      <c r="E10" s="33">
        <f t="shared" si="0"/>
        <v>1287.3961806245065</v>
      </c>
      <c r="F10" s="33">
        <f t="shared" si="0"/>
        <v>1169.8520066124333</v>
      </c>
      <c r="G10" s="33">
        <f t="shared" si="4"/>
        <v>2044.0561472217125</v>
      </c>
      <c r="H10" s="33">
        <f t="shared" si="4"/>
        <v>1940.1618078581591</v>
      </c>
      <c r="I10" s="33">
        <f t="shared" si="4"/>
        <v>1710.5009347189628</v>
      </c>
      <c r="J10" s="41">
        <v>2263.0000000000005</v>
      </c>
      <c r="K10" s="41">
        <v>1867.8747466278669</v>
      </c>
      <c r="L10" s="41">
        <v>1487.8553448017931</v>
      </c>
      <c r="M10" s="33">
        <f t="shared" si="5"/>
        <v>0.591316921475041</v>
      </c>
      <c r="N10" s="33">
        <f t="shared" si="1"/>
        <v>0.58657413031764838</v>
      </c>
      <c r="O10" s="33">
        <f t="shared" si="2"/>
        <v>0.56821125494769753</v>
      </c>
      <c r="P10" s="33">
        <f t="shared" si="6"/>
        <v>0.90325061742011159</v>
      </c>
      <c r="Q10" s="33">
        <f t="shared" si="7"/>
        <v>0.88337964203070563</v>
      </c>
      <c r="R10" s="33">
        <f t="shared" si="8"/>
        <v>0.83049185062297515</v>
      </c>
      <c r="S10" s="41">
        <v>1</v>
      </c>
      <c r="T10" s="41">
        <v>0.86728417994136808</v>
      </c>
      <c r="U10" s="41">
        <v>0.74296049963054778</v>
      </c>
      <c r="V10" s="38">
        <v>1338.1501932980175</v>
      </c>
      <c r="W10" s="38">
        <v>1270.2206284321019</v>
      </c>
      <c r="X10" s="38">
        <v>1143.3799543941932</v>
      </c>
      <c r="Y10" s="38">
        <v>2044.0561472217125</v>
      </c>
      <c r="Z10" s="38">
        <v>1909.2524114173193</v>
      </c>
      <c r="AA10" s="38">
        <v>1662.8367749261481</v>
      </c>
      <c r="AB10" s="43"/>
      <c r="AC10" s="43"/>
      <c r="AD10" s="43"/>
      <c r="AE10" s="38">
        <v>0.591316921475041</v>
      </c>
      <c r="AF10" s="38">
        <v>0.5770321568774236</v>
      </c>
      <c r="AG10" s="38">
        <v>0.55350455927089737</v>
      </c>
      <c r="AH10" s="38">
        <v>0.90325061742011159</v>
      </c>
      <c r="AI10" s="38">
        <v>0.86620775511912795</v>
      </c>
      <c r="AJ10" s="38">
        <v>0.80312137469743006</v>
      </c>
      <c r="AK10" s="44"/>
      <c r="AL10" s="44"/>
      <c r="AM10" s="44"/>
      <c r="AN10" s="39">
        <v>0</v>
      </c>
      <c r="AO10" s="39">
        <v>17.175552192404691</v>
      </c>
      <c r="AP10" s="39">
        <v>26.472052218240258</v>
      </c>
      <c r="AQ10" s="39">
        <v>0</v>
      </c>
      <c r="AR10" s="39">
        <v>30.909396440839728</v>
      </c>
      <c r="AS10" s="39">
        <v>47.664159792814715</v>
      </c>
      <c r="AT10" s="43"/>
      <c r="AU10" s="43"/>
      <c r="AV10" s="43"/>
      <c r="AW10" s="39">
        <v>0</v>
      </c>
      <c r="AX10" s="39">
        <v>9.541973440224831E-3</v>
      </c>
      <c r="AY10" s="39">
        <v>1.4706695676800143E-2</v>
      </c>
      <c r="AZ10" s="39">
        <v>0</v>
      </c>
      <c r="BA10" s="39">
        <v>1.7171886911577623E-2</v>
      </c>
      <c r="BB10" s="39">
        <v>2.7370475925545111E-2</v>
      </c>
      <c r="BC10" s="44"/>
      <c r="BD10" s="44"/>
      <c r="BE10" s="44"/>
      <c r="BG10" s="40">
        <v>7.2632641388245293E-3</v>
      </c>
      <c r="BH10" s="40">
        <v>7.3163235771612004E-3</v>
      </c>
    </row>
    <row r="11" spans="1:60">
      <c r="B11" s="34"/>
      <c r="C11" s="22">
        <v>6</v>
      </c>
      <c r="D11" s="33">
        <f t="shared" si="3"/>
        <v>2091.9188512022447</v>
      </c>
      <c r="E11" s="33">
        <f t="shared" si="0"/>
        <v>2009.846982775571</v>
      </c>
      <c r="F11" s="33">
        <f t="shared" si="0"/>
        <v>1821.0522540429415</v>
      </c>
      <c r="G11" s="33">
        <f t="shared" si="4"/>
        <v>1819.8626034950435</v>
      </c>
      <c r="H11" s="33">
        <f t="shared" si="4"/>
        <v>1728.9639326909182</v>
      </c>
      <c r="I11" s="33">
        <f t="shared" si="4"/>
        <v>1528.1744503068385</v>
      </c>
      <c r="J11" s="41">
        <v>2263.0000000000005</v>
      </c>
      <c r="K11" s="41">
        <v>1867.8747466278669</v>
      </c>
      <c r="L11" s="41">
        <v>1487.8553448017931</v>
      </c>
      <c r="M11" s="33">
        <f t="shared" si="5"/>
        <v>0.92440072965189801</v>
      </c>
      <c r="N11" s="33">
        <f t="shared" si="1"/>
        <v>0.91632446741129059</v>
      </c>
      <c r="O11" s="33">
        <f t="shared" si="2"/>
        <v>0.88658386839133274</v>
      </c>
      <c r="P11" s="33">
        <f t="shared" si="6"/>
        <v>0.80418144211005038</v>
      </c>
      <c r="Q11" s="33">
        <f t="shared" si="7"/>
        <v>0.78702857604737597</v>
      </c>
      <c r="R11" s="33">
        <f t="shared" si="8"/>
        <v>0.74126295015943644</v>
      </c>
      <c r="S11" s="41">
        <v>1</v>
      </c>
      <c r="T11" s="41">
        <v>0.86728417994136808</v>
      </c>
      <c r="U11" s="41">
        <v>0.74296049963054778</v>
      </c>
      <c r="V11" s="38">
        <v>2091.9188512022447</v>
      </c>
      <c r="W11" s="38">
        <v>1983.4439754826103</v>
      </c>
      <c r="X11" s="38">
        <v>1780.4391393138019</v>
      </c>
      <c r="Y11" s="38">
        <v>1819.8626034950435</v>
      </c>
      <c r="Z11" s="38">
        <v>1701.7869080203027</v>
      </c>
      <c r="AA11" s="38">
        <v>1486.349082132173</v>
      </c>
      <c r="AB11" s="43"/>
      <c r="AC11" s="43"/>
      <c r="AD11" s="43"/>
      <c r="AE11" s="38">
        <v>0.92440072965189801</v>
      </c>
      <c r="AF11" s="38">
        <v>0.9016561300263124</v>
      </c>
      <c r="AG11" s="38">
        <v>0.86402102687514404</v>
      </c>
      <c r="AH11" s="38">
        <v>0.80418144211005038</v>
      </c>
      <c r="AI11" s="38">
        <v>0.77193022900814512</v>
      </c>
      <c r="AJ11" s="38">
        <v>0.71724531851171958</v>
      </c>
      <c r="AK11" s="44"/>
      <c r="AL11" s="44"/>
      <c r="AM11" s="44"/>
      <c r="AN11" s="39">
        <v>0</v>
      </c>
      <c r="AO11" s="39">
        <v>26.403007292960702</v>
      </c>
      <c r="AP11" s="39">
        <v>40.613114729139724</v>
      </c>
      <c r="AQ11" s="39">
        <v>0</v>
      </c>
      <c r="AR11" s="39">
        <v>27.177024670615598</v>
      </c>
      <c r="AS11" s="39">
        <v>41.825368174665414</v>
      </c>
      <c r="AT11" s="43"/>
      <c r="AU11" s="43"/>
      <c r="AV11" s="43"/>
      <c r="AW11" s="39">
        <v>0</v>
      </c>
      <c r="AX11" s="39">
        <v>1.4668337384978171E-2</v>
      </c>
      <c r="AY11" s="39">
        <v>2.2562841516188738E-2</v>
      </c>
      <c r="AZ11" s="39">
        <v>0</v>
      </c>
      <c r="BA11" s="39">
        <v>1.5098347039230884E-2</v>
      </c>
      <c r="BB11" s="39">
        <v>2.401763164771686E-2</v>
      </c>
      <c r="BC11" s="44"/>
      <c r="BD11" s="44"/>
      <c r="BE11" s="44"/>
      <c r="BG11" s="40">
        <v>7.1989607923243727E-3</v>
      </c>
      <c r="BH11" s="40">
        <v>7.251558477397016E-3</v>
      </c>
    </row>
    <row r="12" spans="1:60">
      <c r="B12" s="34"/>
      <c r="C12" s="22">
        <v>7</v>
      </c>
      <c r="D12" s="33">
        <f t="shared" si="3"/>
        <v>771.85676054270891</v>
      </c>
      <c r="E12" s="33">
        <f t="shared" si="0"/>
        <v>745.67681803010487</v>
      </c>
      <c r="F12" s="33">
        <f t="shared" si="0"/>
        <v>683.705877832532</v>
      </c>
      <c r="G12" s="33">
        <f t="shared" si="4"/>
        <v>783.84265306598729</v>
      </c>
      <c r="H12" s="33">
        <f t="shared" si="4"/>
        <v>747.73081510301733</v>
      </c>
      <c r="I12" s="33">
        <f t="shared" si="4"/>
        <v>667.09963461104155</v>
      </c>
      <c r="J12" s="41">
        <v>2263.0000000000005</v>
      </c>
      <c r="K12" s="41">
        <v>1867.8747466278669</v>
      </c>
      <c r="L12" s="41">
        <v>1487.8553448017931</v>
      </c>
      <c r="M12" s="33">
        <f t="shared" si="5"/>
        <v>0.34107678327119267</v>
      </c>
      <c r="N12" s="33">
        <f t="shared" si="1"/>
        <v>0.33927133341936233</v>
      </c>
      <c r="O12" s="33">
        <f t="shared" si="2"/>
        <v>0.33028614822412422</v>
      </c>
      <c r="P12" s="33">
        <f t="shared" si="6"/>
        <v>0.34637324483693654</v>
      </c>
      <c r="Q12" s="33">
        <f t="shared" si="7"/>
        <v>0.33973882501532648</v>
      </c>
      <c r="R12" s="33">
        <f t="shared" si="8"/>
        <v>0.32138277931537584</v>
      </c>
      <c r="S12" s="41">
        <v>1</v>
      </c>
      <c r="T12" s="41">
        <v>0.86728417994136808</v>
      </c>
      <c r="U12" s="41">
        <v>0.74296049963054778</v>
      </c>
      <c r="V12" s="38">
        <v>771.85676054270891</v>
      </c>
      <c r="W12" s="38">
        <v>735.42001141881065</v>
      </c>
      <c r="X12" s="38">
        <v>667.93335616094873</v>
      </c>
      <c r="Y12" s="38">
        <v>783.84265306598729</v>
      </c>
      <c r="Z12" s="38">
        <v>735.80937414765913</v>
      </c>
      <c r="AA12" s="38">
        <v>648.75780124101493</v>
      </c>
      <c r="AB12" s="43"/>
      <c r="AC12" s="43"/>
      <c r="AD12" s="43"/>
      <c r="AE12" s="38">
        <v>0.34107678327119267</v>
      </c>
      <c r="AF12" s="38">
        <v>0.33357310752419883</v>
      </c>
      <c r="AG12" s="38">
        <v>0.3215236361843557</v>
      </c>
      <c r="AH12" s="38">
        <v>0.34637324483693654</v>
      </c>
      <c r="AI12" s="38">
        <v>0.33311580226234966</v>
      </c>
      <c r="AJ12" s="38">
        <v>0.31085023849504334</v>
      </c>
      <c r="AK12" s="44"/>
      <c r="AL12" s="44"/>
      <c r="AM12" s="44"/>
      <c r="AN12" s="39">
        <v>0</v>
      </c>
      <c r="AO12" s="39">
        <v>10.256806611294254</v>
      </c>
      <c r="AP12" s="39">
        <v>15.772521671583299</v>
      </c>
      <c r="AQ12" s="39">
        <v>0</v>
      </c>
      <c r="AR12" s="39">
        <v>11.921440955358248</v>
      </c>
      <c r="AS12" s="39">
        <v>18.341833370026574</v>
      </c>
      <c r="AT12" s="43"/>
      <c r="AU12" s="43"/>
      <c r="AV12" s="43"/>
      <c r="AW12" s="39">
        <v>0</v>
      </c>
      <c r="AX12" s="39">
        <v>5.6982258951634749E-3</v>
      </c>
      <c r="AY12" s="39">
        <v>8.7625120397684993E-3</v>
      </c>
      <c r="AZ12" s="39">
        <v>0</v>
      </c>
      <c r="BA12" s="39">
        <v>6.6230227529768034E-3</v>
      </c>
      <c r="BB12" s="39">
        <v>1.0532540820332502E-2</v>
      </c>
      <c r="BC12" s="44"/>
      <c r="BD12" s="44"/>
      <c r="BE12" s="44"/>
      <c r="BG12" s="40">
        <v>7.2034928362283935E-3</v>
      </c>
      <c r="BH12" s="40">
        <v>7.2561247829792215E-3</v>
      </c>
    </row>
    <row r="13" spans="1:60">
      <c r="B13" s="34"/>
      <c r="C13" s="22">
        <v>8</v>
      </c>
      <c r="D13" s="33">
        <f t="shared" si="3"/>
        <v>748.23751251499732</v>
      </c>
      <c r="E13" s="33">
        <f t="shared" si="0"/>
        <v>719.0837831788449</v>
      </c>
      <c r="F13" s="33">
        <f t="shared" si="0"/>
        <v>651.91902775968981</v>
      </c>
      <c r="G13" s="33">
        <f t="shared" si="4"/>
        <v>991.84821176772459</v>
      </c>
      <c r="H13" s="33">
        <f t="shared" si="4"/>
        <v>941.85213534210004</v>
      </c>
      <c r="I13" s="33">
        <f t="shared" si="4"/>
        <v>831.43591878280279</v>
      </c>
      <c r="J13" s="41">
        <v>2263.0000000000005</v>
      </c>
      <c r="K13" s="41">
        <v>1867.8747466278669</v>
      </c>
      <c r="L13" s="41">
        <v>1487.8553448017931</v>
      </c>
      <c r="M13" s="33">
        <f t="shared" si="5"/>
        <v>0.33063964317940669</v>
      </c>
      <c r="N13" s="33">
        <f t="shared" si="1"/>
        <v>0.32779544648686842</v>
      </c>
      <c r="O13" s="33">
        <f t="shared" si="2"/>
        <v>0.31722003581898706</v>
      </c>
      <c r="P13" s="33">
        <f t="shared" si="6"/>
        <v>0.43828909048507492</v>
      </c>
      <c r="Q13" s="33">
        <f t="shared" si="7"/>
        <v>0.42888891481250302</v>
      </c>
      <c r="R13" s="33">
        <f t="shared" si="8"/>
        <v>0.40381048028788835</v>
      </c>
      <c r="S13" s="41">
        <v>1</v>
      </c>
      <c r="T13" s="41">
        <v>0.86728417994136808</v>
      </c>
      <c r="U13" s="41">
        <v>0.74296049963054778</v>
      </c>
      <c r="V13" s="38">
        <v>748.23751251499732</v>
      </c>
      <c r="W13" s="38">
        <v>709.59944002905593</v>
      </c>
      <c r="X13" s="38">
        <v>637.32196546879527</v>
      </c>
      <c r="Y13" s="38">
        <v>991.84821176772459</v>
      </c>
      <c r="Z13" s="38">
        <v>926.99294370586108</v>
      </c>
      <c r="AA13" s="38">
        <v>808.55474913573278</v>
      </c>
      <c r="AB13" s="43"/>
      <c r="AC13" s="43"/>
      <c r="AD13" s="43"/>
      <c r="AE13" s="38">
        <v>0.33063964317940669</v>
      </c>
      <c r="AF13" s="38">
        <v>0.32252636695920789</v>
      </c>
      <c r="AG13" s="38">
        <v>0.30911055676849009</v>
      </c>
      <c r="AH13" s="38">
        <v>0.43828909048507492</v>
      </c>
      <c r="AI13" s="38">
        <v>0.42063380834792585</v>
      </c>
      <c r="AJ13" s="38">
        <v>0.39067128921233618</v>
      </c>
      <c r="AK13" s="44"/>
      <c r="AL13" s="44"/>
      <c r="AM13" s="44"/>
      <c r="AN13" s="39">
        <v>0</v>
      </c>
      <c r="AO13" s="39">
        <v>9.4843431497889465</v>
      </c>
      <c r="AP13" s="39">
        <v>14.59706229089459</v>
      </c>
      <c r="AQ13" s="39">
        <v>0</v>
      </c>
      <c r="AR13" s="39">
        <v>14.859191636238929</v>
      </c>
      <c r="AS13" s="39">
        <v>22.881169647070053</v>
      </c>
      <c r="AT13" s="43"/>
      <c r="AU13" s="43"/>
      <c r="AV13" s="43"/>
      <c r="AW13" s="39">
        <v>0</v>
      </c>
      <c r="AX13" s="39">
        <v>5.2690795276605275E-3</v>
      </c>
      <c r="AY13" s="39">
        <v>8.1094790504969965E-3</v>
      </c>
      <c r="AZ13" s="39">
        <v>0</v>
      </c>
      <c r="BA13" s="39">
        <v>8.2551064645771804E-3</v>
      </c>
      <c r="BB13" s="39">
        <v>1.3139191075552184E-2</v>
      </c>
      <c r="BC13" s="44"/>
      <c r="BD13" s="44"/>
      <c r="BE13" s="44"/>
      <c r="BG13" s="40">
        <v>7.2196693567023722E-3</v>
      </c>
      <c r="BH13" s="40">
        <v>7.2724160661047296E-3</v>
      </c>
    </row>
    <row r="14" spans="1:60">
      <c r="B14" s="34"/>
      <c r="C14" s="22">
        <v>9</v>
      </c>
      <c r="D14" s="33">
        <f t="shared" si="3"/>
        <v>868.43142504845105</v>
      </c>
      <c r="E14" s="33">
        <f t="shared" si="0"/>
        <v>839.23597120337979</v>
      </c>
      <c r="F14" s="33">
        <f t="shared" si="0"/>
        <v>770.61002451660806</v>
      </c>
      <c r="G14" s="33">
        <f t="shared" si="4"/>
        <v>1265.1666000989862</v>
      </c>
      <c r="H14" s="33">
        <f t="shared" si="4"/>
        <v>1208.9591750297216</v>
      </c>
      <c r="I14" s="33">
        <f t="shared" si="4"/>
        <v>1083.2485588326383</v>
      </c>
      <c r="J14" s="41">
        <v>2263.0000000000005</v>
      </c>
      <c r="K14" s="41">
        <v>1867.8747466278669</v>
      </c>
      <c r="L14" s="41">
        <v>1487.8553448017931</v>
      </c>
      <c r="M14" s="33">
        <f t="shared" si="5"/>
        <v>0.38375228680886031</v>
      </c>
      <c r="N14" s="33">
        <f t="shared" si="1"/>
        <v>0.38139846815425055</v>
      </c>
      <c r="O14" s="33">
        <f t="shared" si="2"/>
        <v>0.37093421778463503</v>
      </c>
      <c r="P14" s="33">
        <f t="shared" si="6"/>
        <v>0.55906610698143455</v>
      </c>
      <c r="Q14" s="33">
        <f t="shared" si="7"/>
        <v>0.54888756665006944</v>
      </c>
      <c r="R14" s="33">
        <f t="shared" si="8"/>
        <v>0.52044808792398767</v>
      </c>
      <c r="S14" s="41">
        <v>1</v>
      </c>
      <c r="T14" s="41">
        <v>0.86728417994136808</v>
      </c>
      <c r="U14" s="41">
        <v>0.74296049963054778</v>
      </c>
      <c r="V14" s="38">
        <v>868.43142504845105</v>
      </c>
      <c r="W14" s="38">
        <v>828.05257817594497</v>
      </c>
      <c r="X14" s="38">
        <v>753.39670168648922</v>
      </c>
      <c r="Y14" s="38">
        <v>1265.1666000989862</v>
      </c>
      <c r="Z14" s="38">
        <v>1189.8358750073019</v>
      </c>
      <c r="AA14" s="38">
        <v>1053.7990007469532</v>
      </c>
      <c r="AB14" s="43"/>
      <c r="AC14" s="43"/>
      <c r="AD14" s="43"/>
      <c r="AE14" s="38">
        <v>0.38375228680886031</v>
      </c>
      <c r="AF14" s="38">
        <v>0.37518547202789793</v>
      </c>
      <c r="AG14" s="38">
        <v>0.36137126065679126</v>
      </c>
      <c r="AH14" s="38">
        <v>0.55906610698143455</v>
      </c>
      <c r="AI14" s="38">
        <v>0.5382635110820585</v>
      </c>
      <c r="AJ14" s="38">
        <v>0.50353709181903394</v>
      </c>
      <c r="AK14" s="44"/>
      <c r="AL14" s="44"/>
      <c r="AM14" s="44"/>
      <c r="AN14" s="39">
        <v>0</v>
      </c>
      <c r="AO14" s="39">
        <v>11.183393027434763</v>
      </c>
      <c r="AP14" s="39">
        <v>17.213322830118795</v>
      </c>
      <c r="AQ14" s="39">
        <v>0</v>
      </c>
      <c r="AR14" s="39">
        <v>19.123300022419635</v>
      </c>
      <c r="AS14" s="39">
        <v>29.449558085685002</v>
      </c>
      <c r="AT14" s="43"/>
      <c r="AU14" s="43"/>
      <c r="AV14" s="43"/>
      <c r="AW14" s="39">
        <v>0</v>
      </c>
      <c r="AX14" s="39">
        <v>6.2129961263526464E-3</v>
      </c>
      <c r="AY14" s="39">
        <v>9.5629571278437776E-3</v>
      </c>
      <c r="AZ14" s="39">
        <v>0</v>
      </c>
      <c r="BA14" s="39">
        <v>1.0624055568010904E-2</v>
      </c>
      <c r="BB14" s="39">
        <v>1.6910996104953765E-2</v>
      </c>
      <c r="BC14" s="44"/>
      <c r="BD14" s="44"/>
      <c r="BE14" s="44"/>
      <c r="BG14" s="40">
        <v>7.223446505344411E-3</v>
      </c>
      <c r="BH14" s="40">
        <v>7.2762205046685681E-3</v>
      </c>
    </row>
    <row r="15" spans="1:60">
      <c r="A15" s="46"/>
      <c r="B15" s="46"/>
      <c r="C15" s="22">
        <v>10</v>
      </c>
      <c r="D15" s="33">
        <f t="shared" si="3"/>
        <v>1293.2878371699846</v>
      </c>
      <c r="E15" s="33">
        <f t="shared" si="0"/>
        <v>1236.6080167668774</v>
      </c>
      <c r="F15" s="33">
        <f t="shared" si="0"/>
        <v>1107.3285225332145</v>
      </c>
      <c r="G15" s="33">
        <f t="shared" si="4"/>
        <v>6304.7576731505424</v>
      </c>
      <c r="H15" s="33">
        <f t="shared" si="4"/>
        <v>5986.0995336889955</v>
      </c>
      <c r="I15" s="33">
        <f t="shared" si="4"/>
        <v>5279.9634649426171</v>
      </c>
      <c r="J15" s="41">
        <v>2263.0000000000005</v>
      </c>
      <c r="K15" s="41">
        <v>1867.8747466278669</v>
      </c>
      <c r="L15" s="41">
        <v>1487.8553448017931</v>
      </c>
      <c r="M15" s="33">
        <f t="shared" si="5"/>
        <v>0.57149263684047036</v>
      </c>
      <c r="N15" s="33">
        <f t="shared" si="1"/>
        <v>0.56578316637247172</v>
      </c>
      <c r="O15" s="33">
        <f t="shared" si="2"/>
        <v>0.54575952380478399</v>
      </c>
      <c r="P15" s="33">
        <f t="shared" si="6"/>
        <v>2.7860175312198594</v>
      </c>
      <c r="Q15" s="33">
        <f t="shared" si="7"/>
        <v>2.7274048235443598</v>
      </c>
      <c r="R15" s="33">
        <f t="shared" si="8"/>
        <v>2.5689884158407601</v>
      </c>
      <c r="S15" s="41">
        <v>1</v>
      </c>
      <c r="T15" s="41">
        <v>0.86728417994136808</v>
      </c>
      <c r="U15" s="41">
        <v>0.74296049963054778</v>
      </c>
      <c r="V15" s="38">
        <v>1293.2878371699846</v>
      </c>
      <c r="W15" s="38">
        <v>1219.9889670849939</v>
      </c>
      <c r="X15" s="38">
        <v>1081.5934324669688</v>
      </c>
      <c r="Y15" s="38">
        <v>6304.7576731505424</v>
      </c>
      <c r="Z15" s="38">
        <v>5889.3402748218623</v>
      </c>
      <c r="AA15" s="38">
        <v>5130.0517789621235</v>
      </c>
      <c r="AB15" s="43"/>
      <c r="AC15" s="43"/>
      <c r="AD15" s="43"/>
      <c r="AE15" s="38">
        <v>0.57149263684047036</v>
      </c>
      <c r="AF15" s="38">
        <v>0.55655036099364752</v>
      </c>
      <c r="AG15" s="38">
        <v>0.53146225154575866</v>
      </c>
      <c r="AH15" s="38">
        <v>2.7860175312198594</v>
      </c>
      <c r="AI15" s="38">
        <v>2.6736496797292859</v>
      </c>
      <c r="AJ15" s="38">
        <v>2.4829037306197796</v>
      </c>
      <c r="AK15" s="44"/>
      <c r="AL15" s="44"/>
      <c r="AM15" s="44"/>
      <c r="AN15" s="39">
        <v>0</v>
      </c>
      <c r="AO15" s="39">
        <v>16.619049681883489</v>
      </c>
      <c r="AP15" s="39">
        <v>25.735090066245654</v>
      </c>
      <c r="AQ15" s="39">
        <v>0</v>
      </c>
      <c r="AR15" s="39">
        <v>96.759258867132999</v>
      </c>
      <c r="AS15" s="39">
        <v>149.91168598049347</v>
      </c>
      <c r="AT15" s="43"/>
      <c r="AU15" s="43"/>
      <c r="AV15" s="43"/>
      <c r="AW15" s="39">
        <v>0</v>
      </c>
      <c r="AX15" s="39">
        <v>9.2328053788241632E-3</v>
      </c>
      <c r="AY15" s="39">
        <v>1.4297272259025367E-2</v>
      </c>
      <c r="AZ15" s="39">
        <v>0</v>
      </c>
      <c r="BA15" s="39">
        <v>5.3755143815073868E-2</v>
      </c>
      <c r="BB15" s="39">
        <v>8.6084685220980589E-2</v>
      </c>
      <c r="BC15" s="44"/>
      <c r="BD15" s="44"/>
      <c r="BE15" s="44"/>
      <c r="BG15" s="40">
        <v>7.4143578782166486E-3</v>
      </c>
      <c r="BH15" s="40">
        <v>7.4684983868045247E-3</v>
      </c>
    </row>
    <row r="16" spans="1:60">
      <c r="A16" s="46"/>
      <c r="B16" s="46"/>
      <c r="C16" s="22">
        <v>12</v>
      </c>
      <c r="D16" s="33">
        <f t="shared" si="3"/>
        <v>1293.2878371699846</v>
      </c>
      <c r="E16" s="33">
        <f t="shared" si="0"/>
        <v>1236.6080167668774</v>
      </c>
      <c r="F16" s="33">
        <f t="shared" si="0"/>
        <v>1107.3285225332145</v>
      </c>
      <c r="G16" s="33">
        <f t="shared" si="4"/>
        <v>6304.7576731505424</v>
      </c>
      <c r="H16" s="33">
        <f t="shared" si="4"/>
        <v>5986.0995336889955</v>
      </c>
      <c r="I16" s="33">
        <f t="shared" si="4"/>
        <v>5279.9634649426171</v>
      </c>
      <c r="J16" s="41">
        <v>2263.0000000000005</v>
      </c>
      <c r="K16" s="41">
        <v>1867.8747466278669</v>
      </c>
      <c r="L16" s="41">
        <v>1487.8553448017931</v>
      </c>
      <c r="M16" s="33">
        <f t="shared" si="5"/>
        <v>0.57149263684047036</v>
      </c>
      <c r="N16" s="33">
        <f t="shared" si="1"/>
        <v>0.56578316637247172</v>
      </c>
      <c r="O16" s="33">
        <f t="shared" si="2"/>
        <v>0.54575952380478399</v>
      </c>
      <c r="P16" s="33">
        <f t="shared" si="6"/>
        <v>2.7860175312198594</v>
      </c>
      <c r="Q16" s="33">
        <f t="shared" si="7"/>
        <v>2.7274048235443598</v>
      </c>
      <c r="R16" s="33">
        <f t="shared" si="8"/>
        <v>2.5689884158407601</v>
      </c>
      <c r="S16" s="41">
        <v>1</v>
      </c>
      <c r="T16" s="41">
        <v>0.86728417994136808</v>
      </c>
      <c r="U16" s="41">
        <v>0.74296049963054778</v>
      </c>
      <c r="V16" s="38">
        <v>1293.2878371699846</v>
      </c>
      <c r="W16" s="38">
        <v>1219.9889670849939</v>
      </c>
      <c r="X16" s="38">
        <v>1081.5934324669688</v>
      </c>
      <c r="Y16" s="38">
        <v>6304.7576731505424</v>
      </c>
      <c r="Z16" s="38">
        <v>5889.3402748218623</v>
      </c>
      <c r="AA16" s="38">
        <v>5130.0517789621235</v>
      </c>
      <c r="AB16" s="43"/>
      <c r="AC16" s="43"/>
      <c r="AD16" s="43"/>
      <c r="AE16" s="38">
        <v>0.57149263684047036</v>
      </c>
      <c r="AF16" s="38">
        <v>0.55655036099364752</v>
      </c>
      <c r="AG16" s="38">
        <v>0.53146225154575866</v>
      </c>
      <c r="AH16" s="38">
        <v>2.7860175312198594</v>
      </c>
      <c r="AI16" s="38">
        <v>2.6736496797292859</v>
      </c>
      <c r="AJ16" s="38">
        <v>2.4829037306197796</v>
      </c>
      <c r="AK16" s="44"/>
      <c r="AL16" s="44"/>
      <c r="AM16" s="44"/>
      <c r="AN16" s="39">
        <v>0</v>
      </c>
      <c r="AO16" s="39">
        <v>16.619049681883489</v>
      </c>
      <c r="AP16" s="39">
        <v>25.735090066245654</v>
      </c>
      <c r="AQ16" s="39">
        <v>0</v>
      </c>
      <c r="AR16" s="39">
        <v>96.759258867132999</v>
      </c>
      <c r="AS16" s="39">
        <v>149.91168598049347</v>
      </c>
      <c r="AT16" s="43"/>
      <c r="AU16" s="43"/>
      <c r="AV16" s="43"/>
      <c r="AW16" s="39">
        <v>0</v>
      </c>
      <c r="AX16" s="39">
        <v>9.2328053788241632E-3</v>
      </c>
      <c r="AY16" s="39">
        <v>1.4297272259025367E-2</v>
      </c>
      <c r="AZ16" s="39">
        <v>0</v>
      </c>
      <c r="BA16" s="39">
        <v>5.3755143815073868E-2</v>
      </c>
      <c r="BB16" s="39">
        <v>8.6084685220980589E-2</v>
      </c>
      <c r="BC16" s="44"/>
      <c r="BD16" s="44"/>
      <c r="BE16" s="44"/>
      <c r="BG16" s="40">
        <v>7.4143578782166486E-3</v>
      </c>
      <c r="BH16" s="40">
        <v>7.4684983868045247E-3</v>
      </c>
    </row>
    <row r="17" spans="1:60">
      <c r="A17" s="46"/>
      <c r="B17" s="46"/>
      <c r="C17" s="22">
        <v>13</v>
      </c>
      <c r="D17" s="33">
        <f t="shared" si="3"/>
        <v>1293.2878371699846</v>
      </c>
      <c r="E17" s="33">
        <f t="shared" si="0"/>
        <v>1236.6080167668774</v>
      </c>
      <c r="F17" s="33">
        <f t="shared" si="0"/>
        <v>1107.3285225332145</v>
      </c>
      <c r="G17" s="33">
        <f t="shared" si="4"/>
        <v>6304.7576731505424</v>
      </c>
      <c r="H17" s="33">
        <f t="shared" si="4"/>
        <v>5986.0995336889955</v>
      </c>
      <c r="I17" s="33">
        <f t="shared" si="4"/>
        <v>5279.9634649426171</v>
      </c>
      <c r="J17" s="41">
        <v>2263.0000000000005</v>
      </c>
      <c r="K17" s="41">
        <v>1867.8747466278669</v>
      </c>
      <c r="L17" s="41">
        <v>1487.8553448017931</v>
      </c>
      <c r="M17" s="33">
        <f t="shared" si="5"/>
        <v>0.57149263684047036</v>
      </c>
      <c r="N17" s="33">
        <f t="shared" si="1"/>
        <v>0.56578316637247172</v>
      </c>
      <c r="O17" s="33">
        <f t="shared" si="2"/>
        <v>0.54575952380478399</v>
      </c>
      <c r="P17" s="33">
        <f t="shared" si="6"/>
        <v>2.7860175312198594</v>
      </c>
      <c r="Q17" s="33">
        <f t="shared" si="7"/>
        <v>2.7274048235443598</v>
      </c>
      <c r="R17" s="33">
        <f t="shared" si="8"/>
        <v>2.5689884158407601</v>
      </c>
      <c r="S17" s="41">
        <v>1</v>
      </c>
      <c r="T17" s="41">
        <v>0.86728417994136808</v>
      </c>
      <c r="U17" s="41">
        <v>0.74296049963054778</v>
      </c>
      <c r="V17" s="38">
        <v>1293.2878371699846</v>
      </c>
      <c r="W17" s="38">
        <v>1219.9889670849939</v>
      </c>
      <c r="X17" s="38">
        <v>1081.5934324669688</v>
      </c>
      <c r="Y17" s="38">
        <v>6304.7576731505424</v>
      </c>
      <c r="Z17" s="38">
        <v>5889.3402748218623</v>
      </c>
      <c r="AA17" s="38">
        <v>5130.0517789621235</v>
      </c>
      <c r="AB17" s="43"/>
      <c r="AC17" s="43"/>
      <c r="AD17" s="43"/>
      <c r="AE17" s="38">
        <v>0.57149263684047036</v>
      </c>
      <c r="AF17" s="38">
        <v>0.55655036099364752</v>
      </c>
      <c r="AG17" s="38">
        <v>0.53146225154575866</v>
      </c>
      <c r="AH17" s="38">
        <v>2.7860175312198594</v>
      </c>
      <c r="AI17" s="38">
        <v>2.6736496797292859</v>
      </c>
      <c r="AJ17" s="38">
        <v>2.4829037306197796</v>
      </c>
      <c r="AK17" s="44"/>
      <c r="AL17" s="44"/>
      <c r="AM17" s="44"/>
      <c r="AN17" s="39">
        <v>0</v>
      </c>
      <c r="AO17" s="39">
        <v>16.619049681883489</v>
      </c>
      <c r="AP17" s="39">
        <v>25.735090066245654</v>
      </c>
      <c r="AQ17" s="39">
        <v>0</v>
      </c>
      <c r="AR17" s="39">
        <v>96.759258867132999</v>
      </c>
      <c r="AS17" s="39">
        <v>149.91168598049347</v>
      </c>
      <c r="AT17" s="43"/>
      <c r="AU17" s="43"/>
      <c r="AV17" s="43"/>
      <c r="AW17" s="39">
        <v>0</v>
      </c>
      <c r="AX17" s="39">
        <v>9.2328053788241632E-3</v>
      </c>
      <c r="AY17" s="39">
        <v>1.4297272259025367E-2</v>
      </c>
      <c r="AZ17" s="39">
        <v>0</v>
      </c>
      <c r="BA17" s="39">
        <v>5.3755143815073868E-2</v>
      </c>
      <c r="BB17" s="39">
        <v>8.6084685220980589E-2</v>
      </c>
      <c r="BC17" s="44"/>
      <c r="BD17" s="44"/>
      <c r="BE17" s="44"/>
      <c r="BG17" s="40">
        <v>7.4143578782166486E-3</v>
      </c>
      <c r="BH17" s="40">
        <v>7.4684983868045247E-3</v>
      </c>
    </row>
    <row r="18" spans="1:60">
      <c r="B18" s="34"/>
      <c r="C18" s="22">
        <v>14</v>
      </c>
      <c r="D18" s="33">
        <f t="shared" si="3"/>
        <v>1225.7452380664497</v>
      </c>
      <c r="E18" s="33">
        <f t="shared" si="0"/>
        <v>1178.785074767429</v>
      </c>
      <c r="F18" s="33">
        <f t="shared" si="0"/>
        <v>1068.4223110307992</v>
      </c>
      <c r="G18" s="33">
        <f t="shared" si="4"/>
        <v>2008.0230880184163</v>
      </c>
      <c r="H18" s="33">
        <f t="shared" si="4"/>
        <v>1909.7297707558866</v>
      </c>
      <c r="I18" s="33">
        <f t="shared" si="4"/>
        <v>1690.0861257550569</v>
      </c>
      <c r="J18" s="41">
        <v>2263.0000000000005</v>
      </c>
      <c r="K18" s="41">
        <v>1867.8747466278669</v>
      </c>
      <c r="L18" s="41">
        <v>1487.8553448017931</v>
      </c>
      <c r="M18" s="33">
        <f t="shared" si="5"/>
        <v>0.5416461502724037</v>
      </c>
      <c r="N18" s="33">
        <f t="shared" si="1"/>
        <v>0.53793600672638742</v>
      </c>
      <c r="O18" s="33">
        <f t="shared" si="2"/>
        <v>0.52147006453523592</v>
      </c>
      <c r="P18" s="33">
        <f t="shared" si="6"/>
        <v>0.88732792223527024</v>
      </c>
      <c r="Q18" s="33">
        <f t="shared" si="7"/>
        <v>0.86954826503233063</v>
      </c>
      <c r="R18" s="33">
        <f t="shared" si="8"/>
        <v>0.82023015944867617</v>
      </c>
      <c r="S18" s="41">
        <v>1</v>
      </c>
      <c r="T18" s="41">
        <v>0.86728417994136808</v>
      </c>
      <c r="U18" s="41">
        <v>0.74296049963054778</v>
      </c>
      <c r="V18" s="38">
        <v>1225.7452380664497</v>
      </c>
      <c r="W18" s="38">
        <v>1161.8625034542126</v>
      </c>
      <c r="X18" s="38">
        <v>1042.2474306486938</v>
      </c>
      <c r="Y18" s="38">
        <v>2008.0230880184163</v>
      </c>
      <c r="Z18" s="38">
        <v>1878.1130010172656</v>
      </c>
      <c r="AA18" s="38">
        <v>1641.1578886322441</v>
      </c>
      <c r="AB18" s="43"/>
      <c r="AC18" s="43"/>
      <c r="AD18" s="43"/>
      <c r="AE18" s="38">
        <v>0.5416461502724037</v>
      </c>
      <c r="AF18" s="38">
        <v>0.52853457821904504</v>
      </c>
      <c r="AG18" s="38">
        <v>0.50692846432295513</v>
      </c>
      <c r="AH18" s="38">
        <v>0.88732792223527024</v>
      </c>
      <c r="AI18" s="38">
        <v>0.85198339295531889</v>
      </c>
      <c r="AJ18" s="38">
        <v>0.79213380482771012</v>
      </c>
      <c r="AK18" s="44"/>
      <c r="AL18" s="44"/>
      <c r="AM18" s="44"/>
      <c r="AN18" s="39">
        <v>0</v>
      </c>
      <c r="AO18" s="39">
        <v>16.922571313216327</v>
      </c>
      <c r="AP18" s="39">
        <v>26.174880382105439</v>
      </c>
      <c r="AQ18" s="39">
        <v>0</v>
      </c>
      <c r="AR18" s="39">
        <v>31.616769738621141</v>
      </c>
      <c r="AS18" s="39">
        <v>48.928237122812853</v>
      </c>
      <c r="AT18" s="43"/>
      <c r="AU18" s="43"/>
      <c r="AV18" s="43"/>
      <c r="AW18" s="39">
        <v>0</v>
      </c>
      <c r="AX18" s="39">
        <v>9.4014285073424075E-3</v>
      </c>
      <c r="AY18" s="39">
        <v>1.4541600212280801E-2</v>
      </c>
      <c r="AZ18" s="39">
        <v>0</v>
      </c>
      <c r="BA18" s="39">
        <v>1.7564872077011743E-2</v>
      </c>
      <c r="BB18" s="39">
        <v>2.8096354620966001E-2</v>
      </c>
      <c r="BC18" s="44"/>
      <c r="BD18" s="44"/>
      <c r="BE18" s="44"/>
      <c r="BG18" s="40">
        <v>7.4783832474821675E-3</v>
      </c>
      <c r="BH18" s="40">
        <v>7.5329994103066605E-3</v>
      </c>
    </row>
    <row r="19" spans="1:60">
      <c r="B19" s="34"/>
      <c r="C19" s="22">
        <v>15</v>
      </c>
      <c r="D19" s="33">
        <f t="shared" si="3"/>
        <v>1090.7654028447025</v>
      </c>
      <c r="E19" s="33">
        <f t="shared" si="0"/>
        <v>1048.0735253606233</v>
      </c>
      <c r="F19" s="33">
        <f t="shared" si="0"/>
        <v>948.3988575771466</v>
      </c>
      <c r="G19" s="33">
        <f t="shared" si="4"/>
        <v>583.16812051517559</v>
      </c>
      <c r="H19" s="33">
        <f t="shared" si="4"/>
        <v>555.01805411328974</v>
      </c>
      <c r="I19" s="33">
        <f t="shared" si="4"/>
        <v>492.01545602969821</v>
      </c>
      <c r="J19" s="41">
        <v>2263.0000000000005</v>
      </c>
      <c r="K19" s="41">
        <v>1867.8747466278669</v>
      </c>
      <c r="L19" s="41">
        <v>1487.8553448017931</v>
      </c>
      <c r="M19" s="33">
        <f t="shared" si="5"/>
        <v>0.48199973612227243</v>
      </c>
      <c r="N19" s="33">
        <f t="shared" si="1"/>
        <v>0.4782875212818421</v>
      </c>
      <c r="O19" s="33">
        <f t="shared" si="2"/>
        <v>0.46300904787418989</v>
      </c>
      <c r="P19" s="33">
        <f t="shared" si="6"/>
        <v>0.25769691582641435</v>
      </c>
      <c r="Q19" s="33">
        <f t="shared" si="7"/>
        <v>0.25275940371066752</v>
      </c>
      <c r="R19" s="33">
        <f t="shared" si="8"/>
        <v>0.23888531674089319</v>
      </c>
      <c r="S19" s="41">
        <v>1</v>
      </c>
      <c r="T19" s="41">
        <v>0.86728417994136808</v>
      </c>
      <c r="U19" s="41">
        <v>0.74296049963054778</v>
      </c>
      <c r="V19" s="38">
        <v>1090.7654028447025</v>
      </c>
      <c r="W19" s="38">
        <v>1033.2894202538664</v>
      </c>
      <c r="X19" s="38">
        <v>925.54805140543397</v>
      </c>
      <c r="Y19" s="38">
        <v>583.16812051517559</v>
      </c>
      <c r="Z19" s="38">
        <v>545.83003919545297</v>
      </c>
      <c r="AA19" s="38">
        <v>477.80683088440304</v>
      </c>
      <c r="AB19" s="43"/>
      <c r="AC19" s="43"/>
      <c r="AD19" s="43"/>
      <c r="AE19" s="38">
        <v>0.48199973612227243</v>
      </c>
      <c r="AF19" s="38">
        <v>0.47007412955586608</v>
      </c>
      <c r="AG19" s="38">
        <v>0.45031415555657173</v>
      </c>
      <c r="AH19" s="38">
        <v>0.25769691582641435</v>
      </c>
      <c r="AI19" s="38">
        <v>0.24765495097853601</v>
      </c>
      <c r="AJ19" s="38">
        <v>0.23072621283211053</v>
      </c>
      <c r="AK19" s="44"/>
      <c r="AL19" s="44"/>
      <c r="AM19" s="44"/>
      <c r="AN19" s="39">
        <v>0</v>
      </c>
      <c r="AO19" s="39">
        <v>14.784105106756869</v>
      </c>
      <c r="AP19" s="39">
        <v>22.850806171712691</v>
      </c>
      <c r="AQ19" s="39">
        <v>0</v>
      </c>
      <c r="AR19" s="39">
        <v>9.1880149178367478</v>
      </c>
      <c r="AS19" s="39">
        <v>14.208625145295175</v>
      </c>
      <c r="AT19" s="43"/>
      <c r="AU19" s="43"/>
      <c r="AV19" s="43"/>
      <c r="AW19" s="39">
        <v>0</v>
      </c>
      <c r="AX19" s="39">
        <v>8.2133917259760384E-3</v>
      </c>
      <c r="AY19" s="39">
        <v>1.2694892317618162E-2</v>
      </c>
      <c r="AZ19" s="39">
        <v>0</v>
      </c>
      <c r="BA19" s="39">
        <v>5.1044527321315245E-3</v>
      </c>
      <c r="BB19" s="39">
        <v>8.1591039087826733E-3</v>
      </c>
      <c r="BC19" s="44"/>
      <c r="BD19" s="44"/>
      <c r="BE19" s="44"/>
      <c r="BG19" s="40">
        <v>7.3713997145989181E-3</v>
      </c>
      <c r="BH19" s="40">
        <v>7.4252374923340411E-3</v>
      </c>
    </row>
    <row r="20" spans="1:60">
      <c r="B20" s="34"/>
      <c r="C20" s="22">
        <v>16</v>
      </c>
      <c r="D20" s="33">
        <f t="shared" si="3"/>
        <v>1011.4227110338757</v>
      </c>
      <c r="E20" s="33">
        <f t="shared" si="0"/>
        <v>974.20280821109691</v>
      </c>
      <c r="F20" s="33">
        <f t="shared" si="0"/>
        <v>885.7358157200415</v>
      </c>
      <c r="G20" s="33">
        <f t="shared" si="4"/>
        <v>586.55896661447696</v>
      </c>
      <c r="H20" s="33">
        <f t="shared" si="4"/>
        <v>559.03291761578566</v>
      </c>
      <c r="I20" s="33">
        <f t="shared" si="4"/>
        <v>496.87901048665225</v>
      </c>
      <c r="J20" s="41">
        <v>2263.0000000000005</v>
      </c>
      <c r="K20" s="41">
        <v>1867.8747466278669</v>
      </c>
      <c r="L20" s="41">
        <v>1487.8553448017931</v>
      </c>
      <c r="M20" s="33">
        <f t="shared" si="5"/>
        <v>0.44693889130971087</v>
      </c>
      <c r="N20" s="33">
        <f t="shared" si="1"/>
        <v>0.44399160806719501</v>
      </c>
      <c r="O20" s="33">
        <f t="shared" si="2"/>
        <v>0.43032818608987966</v>
      </c>
      <c r="P20" s="33">
        <f t="shared" si="6"/>
        <v>0.25919530119950379</v>
      </c>
      <c r="Q20" s="33">
        <f t="shared" si="7"/>
        <v>0.25435864354722104</v>
      </c>
      <c r="R20" s="33">
        <f t="shared" si="8"/>
        <v>0.24045827618020038</v>
      </c>
      <c r="S20" s="41">
        <v>1</v>
      </c>
      <c r="T20" s="41">
        <v>0.86728417994136808</v>
      </c>
      <c r="U20" s="41">
        <v>0.74296049963054778</v>
      </c>
      <c r="V20" s="38">
        <v>1011.4227110338757</v>
      </c>
      <c r="W20" s="38">
        <v>959.92635071582936</v>
      </c>
      <c r="X20" s="38">
        <v>863.74098110972204</v>
      </c>
      <c r="Y20" s="38">
        <v>586.55896661447696</v>
      </c>
      <c r="Z20" s="38">
        <v>549.56350728288135</v>
      </c>
      <c r="AA20" s="38">
        <v>482.28254226793047</v>
      </c>
      <c r="AB20" s="43"/>
      <c r="AC20" s="43"/>
      <c r="AD20" s="43"/>
      <c r="AE20" s="38">
        <v>0.44693889130971087</v>
      </c>
      <c r="AF20" s="38">
        <v>0.43606024279204642</v>
      </c>
      <c r="AG20" s="38">
        <v>0.41810883352859107</v>
      </c>
      <c r="AH20" s="38">
        <v>0.25919530119950379</v>
      </c>
      <c r="AI20" s="38">
        <v>0.24909786002894088</v>
      </c>
      <c r="AJ20" s="38">
        <v>0.23207645882067704</v>
      </c>
      <c r="AK20" s="44"/>
      <c r="AL20" s="44"/>
      <c r="AM20" s="44"/>
      <c r="AN20" s="39">
        <v>0</v>
      </c>
      <c r="AO20" s="39">
        <v>14.276457495267509</v>
      </c>
      <c r="AP20" s="39">
        <v>21.994834610319476</v>
      </c>
      <c r="AQ20" s="39">
        <v>0</v>
      </c>
      <c r="AR20" s="39">
        <v>9.469410332904296</v>
      </c>
      <c r="AS20" s="39">
        <v>14.59646821872178</v>
      </c>
      <c r="AT20" s="43"/>
      <c r="AU20" s="43"/>
      <c r="AV20" s="43"/>
      <c r="AW20" s="39">
        <v>0</v>
      </c>
      <c r="AX20" s="39">
        <v>7.9313652751486184E-3</v>
      </c>
      <c r="AY20" s="39">
        <v>1.22193525612886E-2</v>
      </c>
      <c r="AZ20" s="39">
        <v>0</v>
      </c>
      <c r="BA20" s="39">
        <v>5.2607835182801642E-3</v>
      </c>
      <c r="BB20" s="39">
        <v>8.3818173595233414E-3</v>
      </c>
      <c r="BC20" s="44"/>
      <c r="BD20" s="44"/>
      <c r="BE20" s="44"/>
      <c r="BG20" s="40">
        <v>7.4526535760460286E-3</v>
      </c>
      <c r="BH20" s="40">
        <v>7.5070982282243763E-3</v>
      </c>
    </row>
    <row r="21" spans="1:60">
      <c r="B21" s="34"/>
      <c r="C21" s="22">
        <v>17</v>
      </c>
      <c r="D21" s="33">
        <f t="shared" si="3"/>
        <v>903.65692460734601</v>
      </c>
      <c r="E21" s="33">
        <f t="shared" si="0"/>
        <v>869.96848530831949</v>
      </c>
      <c r="F21" s="33">
        <f t="shared" si="0"/>
        <v>790.88833572460123</v>
      </c>
      <c r="G21" s="33">
        <f t="shared" si="4"/>
        <v>771.18742631037492</v>
      </c>
      <c r="H21" s="33">
        <f t="shared" si="4"/>
        <v>734.15563306514309</v>
      </c>
      <c r="I21" s="33">
        <f t="shared" si="4"/>
        <v>651.51032675413353</v>
      </c>
      <c r="J21" s="41">
        <v>2263.0000000000005</v>
      </c>
      <c r="K21" s="41">
        <v>1867.8747466278669</v>
      </c>
      <c r="L21" s="41">
        <v>1487.8553448017931</v>
      </c>
      <c r="M21" s="33">
        <f t="shared" si="5"/>
        <v>0.39931812841685638</v>
      </c>
      <c r="N21" s="33">
        <f t="shared" si="1"/>
        <v>0.39647638363788762</v>
      </c>
      <c r="O21" s="33">
        <f t="shared" si="2"/>
        <v>0.38431476818176524</v>
      </c>
      <c r="P21" s="33">
        <f t="shared" si="6"/>
        <v>0.34078101030065172</v>
      </c>
      <c r="Q21" s="33">
        <f t="shared" si="7"/>
        <v>0.33413994266739094</v>
      </c>
      <c r="R21" s="33">
        <f t="shared" si="8"/>
        <v>0.31570952705274918</v>
      </c>
      <c r="S21" s="41">
        <v>1</v>
      </c>
      <c r="T21" s="41">
        <v>0.86728417994136808</v>
      </c>
      <c r="U21" s="41">
        <v>0.74296049963054778</v>
      </c>
      <c r="V21" s="38">
        <v>903.65692460734601</v>
      </c>
      <c r="W21" s="38">
        <v>857.80082214539846</v>
      </c>
      <c r="X21" s="38">
        <v>772.18074507857227</v>
      </c>
      <c r="Y21" s="38">
        <v>771.18742631037492</v>
      </c>
      <c r="Z21" s="38">
        <v>722.25553993689675</v>
      </c>
      <c r="AA21" s="38">
        <v>633.20463664212048</v>
      </c>
      <c r="AB21" s="43"/>
      <c r="AC21" s="43"/>
      <c r="AD21" s="43"/>
      <c r="AE21" s="38">
        <v>0.39931812841685638</v>
      </c>
      <c r="AF21" s="38">
        <v>0.38971657076959815</v>
      </c>
      <c r="AG21" s="38">
        <v>0.37392166226730467</v>
      </c>
      <c r="AH21" s="38">
        <v>0.34078101030065172</v>
      </c>
      <c r="AI21" s="38">
        <v>0.3275287798183652</v>
      </c>
      <c r="AJ21" s="38">
        <v>0.30519774099191793</v>
      </c>
      <c r="AK21" s="44"/>
      <c r="AL21" s="44"/>
      <c r="AM21" s="44"/>
      <c r="AN21" s="39">
        <v>0</v>
      </c>
      <c r="AO21" s="39">
        <v>12.167663162921034</v>
      </c>
      <c r="AP21" s="39">
        <v>18.707590646029001</v>
      </c>
      <c r="AQ21" s="39">
        <v>0</v>
      </c>
      <c r="AR21" s="39">
        <v>11.900093128246322</v>
      </c>
      <c r="AS21" s="39">
        <v>18.305690112013089</v>
      </c>
      <c r="AT21" s="43"/>
      <c r="AU21" s="43"/>
      <c r="AV21" s="43"/>
      <c r="AW21" s="39">
        <v>0</v>
      </c>
      <c r="AX21" s="39">
        <v>6.7598128682894642E-3</v>
      </c>
      <c r="AY21" s="39">
        <v>1.0393105914460559E-2</v>
      </c>
      <c r="AZ21" s="39">
        <v>0</v>
      </c>
      <c r="BA21" s="39">
        <v>6.6111628490257337E-3</v>
      </c>
      <c r="BB21" s="39">
        <v>1.0511786060831259E-2</v>
      </c>
      <c r="BC21" s="44"/>
      <c r="BD21" s="44"/>
      <c r="BE21" s="44"/>
      <c r="BG21" s="40">
        <v>7.1920502273530819E-3</v>
      </c>
      <c r="BH21" s="40">
        <v>7.2445992943000071E-3</v>
      </c>
    </row>
    <row r="22" spans="1:60">
      <c r="B22" s="34"/>
      <c r="C22" s="22">
        <v>18</v>
      </c>
      <c r="D22" s="33">
        <f t="shared" si="3"/>
        <v>744.82876447469539</v>
      </c>
      <c r="E22" s="33">
        <f t="shared" ref="E22:E85" si="9">W22+$A$5*AO22</f>
        <v>716.20843958019941</v>
      </c>
      <c r="F22" s="33">
        <f t="shared" ref="F22:F85" si="10">X22+$A$5*AP22</f>
        <v>649.44781996232359</v>
      </c>
      <c r="G22" s="33">
        <f t="shared" si="4"/>
        <v>892.78738428130123</v>
      </c>
      <c r="H22" s="33">
        <f t="shared" si="4"/>
        <v>847.53434362793109</v>
      </c>
      <c r="I22" s="33">
        <f t="shared" si="4"/>
        <v>747.13940102566119</v>
      </c>
      <c r="J22" s="41">
        <v>2263.0000000000005</v>
      </c>
      <c r="K22" s="41">
        <v>1867.8747466278669</v>
      </c>
      <c r="L22" s="41">
        <v>1487.8553448017931</v>
      </c>
      <c r="M22" s="33">
        <f t="shared" si="5"/>
        <v>0.32913334709443015</v>
      </c>
      <c r="N22" s="33">
        <f t="shared" si="1"/>
        <v>0.32644433908036635</v>
      </c>
      <c r="O22" s="33">
        <f t="shared" si="2"/>
        <v>0.31580553672791378</v>
      </c>
      <c r="P22" s="33">
        <f t="shared" si="6"/>
        <v>0.39451497316893575</v>
      </c>
      <c r="Q22" s="33">
        <f t="shared" si="7"/>
        <v>0.38579868705991416</v>
      </c>
      <c r="R22" s="33">
        <f t="shared" si="8"/>
        <v>0.36244213610982867</v>
      </c>
      <c r="S22" s="41">
        <v>1</v>
      </c>
      <c r="T22" s="41">
        <v>0.86728417994136808</v>
      </c>
      <c r="U22" s="41">
        <v>0.74296049963054778</v>
      </c>
      <c r="V22" s="38">
        <v>744.82876447469539</v>
      </c>
      <c r="W22" s="38">
        <v>706.26072402623436</v>
      </c>
      <c r="X22" s="38">
        <v>634.09402784382871</v>
      </c>
      <c r="Y22" s="38">
        <v>892.78738428130123</v>
      </c>
      <c r="Z22" s="38">
        <v>833.78669173380331</v>
      </c>
      <c r="AA22" s="38">
        <v>725.90964411533105</v>
      </c>
      <c r="AB22" s="43"/>
      <c r="AC22" s="43"/>
      <c r="AD22" s="43"/>
      <c r="AE22" s="38">
        <v>0.32913334709443015</v>
      </c>
      <c r="AF22" s="38">
        <v>0.32091783043927463</v>
      </c>
      <c r="AG22" s="38">
        <v>0.30727565221763881</v>
      </c>
      <c r="AH22" s="38">
        <v>0.39451497316893575</v>
      </c>
      <c r="AI22" s="38">
        <v>0.37816110267428765</v>
      </c>
      <c r="AJ22" s="38">
        <v>0.35025124565995736</v>
      </c>
      <c r="AK22" s="44"/>
      <c r="AL22" s="44"/>
      <c r="AM22" s="44"/>
      <c r="AN22" s="39">
        <v>0</v>
      </c>
      <c r="AO22" s="39">
        <v>9.9477155539651019</v>
      </c>
      <c r="AP22" s="39">
        <v>15.353792118494935</v>
      </c>
      <c r="AQ22" s="39">
        <v>0</v>
      </c>
      <c r="AR22" s="39">
        <v>13.747651894127753</v>
      </c>
      <c r="AS22" s="39">
        <v>21.229756910330085</v>
      </c>
      <c r="AT22" s="43"/>
      <c r="AU22" s="43"/>
      <c r="AV22" s="43"/>
      <c r="AW22" s="39">
        <v>0</v>
      </c>
      <c r="AX22" s="39">
        <v>5.5265086410917243E-3</v>
      </c>
      <c r="AY22" s="39">
        <v>8.5298845102749661E-3</v>
      </c>
      <c r="AZ22" s="39">
        <v>0</v>
      </c>
      <c r="BA22" s="39">
        <v>7.6375843856265275E-3</v>
      </c>
      <c r="BB22" s="39">
        <v>1.2190890449871298E-2</v>
      </c>
      <c r="BC22" s="44"/>
      <c r="BD22" s="44"/>
      <c r="BE22" s="44"/>
      <c r="BG22" s="40">
        <v>7.2537981772271883E-3</v>
      </c>
      <c r="BH22" s="40">
        <v>7.3067827412911721E-3</v>
      </c>
    </row>
    <row r="23" spans="1:60">
      <c r="B23" s="34"/>
      <c r="C23" s="22">
        <v>19</v>
      </c>
      <c r="D23" s="33">
        <f t="shared" si="3"/>
        <v>641.7926575722239</v>
      </c>
      <c r="E23" s="33">
        <f t="shared" si="9"/>
        <v>618.42606454240217</v>
      </c>
      <c r="F23" s="33">
        <f t="shared" si="10"/>
        <v>563.45791973114774</v>
      </c>
      <c r="G23" s="33">
        <f t="shared" si="4"/>
        <v>469.06061342842463</v>
      </c>
      <c r="H23" s="33">
        <f t="shared" si="4"/>
        <v>446.33051787891441</v>
      </c>
      <c r="I23" s="33">
        <f t="shared" si="4"/>
        <v>395.67674742533245</v>
      </c>
      <c r="J23" s="41">
        <v>2263.0000000000005</v>
      </c>
      <c r="K23" s="41">
        <v>1867.8747466278669</v>
      </c>
      <c r="L23" s="41">
        <v>1487.8553448017931</v>
      </c>
      <c r="M23" s="33">
        <f t="shared" si="5"/>
        <v>0.28360258841017416</v>
      </c>
      <c r="N23" s="33">
        <f t="shared" si="1"/>
        <v>0.28202216731825169</v>
      </c>
      <c r="O23" s="33">
        <f t="shared" si="2"/>
        <v>0.27431171142857469</v>
      </c>
      <c r="P23" s="33">
        <f t="shared" si="6"/>
        <v>0.20727380178012572</v>
      </c>
      <c r="Q23" s="33">
        <f t="shared" si="7"/>
        <v>0.20329570799471153</v>
      </c>
      <c r="R23" s="33">
        <f t="shared" si="8"/>
        <v>0.1922288372418855</v>
      </c>
      <c r="S23" s="41">
        <v>1</v>
      </c>
      <c r="T23" s="41">
        <v>0.86728417994136808</v>
      </c>
      <c r="U23" s="41">
        <v>0.74296049963054778</v>
      </c>
      <c r="V23" s="38">
        <v>641.7926575722239</v>
      </c>
      <c r="W23" s="38">
        <v>609.79042362661812</v>
      </c>
      <c r="X23" s="38">
        <v>550.15061279216764</v>
      </c>
      <c r="Y23" s="38">
        <v>469.06061342842463</v>
      </c>
      <c r="Z23" s="38">
        <v>439.09755097543433</v>
      </c>
      <c r="AA23" s="38">
        <v>384.52516154256608</v>
      </c>
      <c r="AB23" s="43"/>
      <c r="AC23" s="43"/>
      <c r="AD23" s="43"/>
      <c r="AE23" s="38">
        <v>0.28360258841017416</v>
      </c>
      <c r="AF23" s="38">
        <v>0.27722458903170499</v>
      </c>
      <c r="AG23" s="38">
        <v>0.26691876312914131</v>
      </c>
      <c r="AH23" s="38">
        <v>0.20727380178012572</v>
      </c>
      <c r="AI23" s="38">
        <v>0.19927739304833372</v>
      </c>
      <c r="AJ23" s="38">
        <v>0.18582519529660321</v>
      </c>
      <c r="AK23" s="44"/>
      <c r="AL23" s="44"/>
      <c r="AM23" s="44"/>
      <c r="AN23" s="39">
        <v>0</v>
      </c>
      <c r="AO23" s="39">
        <v>8.6356409157840321</v>
      </c>
      <c r="AP23" s="39">
        <v>13.307306938980059</v>
      </c>
      <c r="AQ23" s="39">
        <v>0</v>
      </c>
      <c r="AR23" s="39">
        <v>7.2329669034800474</v>
      </c>
      <c r="AS23" s="39">
        <v>11.151585882766394</v>
      </c>
      <c r="AT23" s="43"/>
      <c r="AU23" s="43"/>
      <c r="AV23" s="43"/>
      <c r="AW23" s="39">
        <v>0</v>
      </c>
      <c r="AX23" s="39">
        <v>4.7975782865466851E-3</v>
      </c>
      <c r="AY23" s="39">
        <v>7.392948299433366E-3</v>
      </c>
      <c r="AZ23" s="39">
        <v>0</v>
      </c>
      <c r="BA23" s="39">
        <v>4.0183149463778028E-3</v>
      </c>
      <c r="BB23" s="39">
        <v>6.4036419452822976E-3</v>
      </c>
      <c r="BC23" s="44"/>
      <c r="BD23" s="44"/>
      <c r="BE23" s="44"/>
      <c r="BG23" s="40">
        <v>7.250631159140113E-3</v>
      </c>
      <c r="BH23" s="40">
        <v>7.3035990680191312E-3</v>
      </c>
    </row>
    <row r="24" spans="1:60">
      <c r="B24" s="34"/>
      <c r="C24" s="22">
        <v>20</v>
      </c>
      <c r="D24" s="33">
        <f t="shared" si="3"/>
        <v>1266.7535480921338</v>
      </c>
      <c r="E24" s="33">
        <f t="shared" si="9"/>
        <v>1209.3515375623729</v>
      </c>
      <c r="F24" s="33">
        <f t="shared" si="10"/>
        <v>1078.5774673266915</v>
      </c>
      <c r="G24" s="33">
        <f t="shared" si="4"/>
        <v>1921.564247458261</v>
      </c>
      <c r="H24" s="33">
        <f t="shared" si="4"/>
        <v>1826.9407173840475</v>
      </c>
      <c r="I24" s="33">
        <f t="shared" si="4"/>
        <v>1616.4808879694222</v>
      </c>
      <c r="J24" s="41">
        <v>2263.0000000000005</v>
      </c>
      <c r="K24" s="41">
        <v>1867.8747466278669</v>
      </c>
      <c r="L24" s="41">
        <v>1487.8553448017931</v>
      </c>
      <c r="M24" s="33">
        <f t="shared" si="5"/>
        <v>0.55976736548481387</v>
      </c>
      <c r="N24" s="33">
        <f t="shared" si="1"/>
        <v>0.55433388418907159</v>
      </c>
      <c r="O24" s="33">
        <f t="shared" si="2"/>
        <v>0.53491040668361056</v>
      </c>
      <c r="P24" s="33">
        <f t="shared" si="6"/>
        <v>0.84912251323829468</v>
      </c>
      <c r="Q24" s="33">
        <f t="shared" si="7"/>
        <v>0.83224589671792593</v>
      </c>
      <c r="R24" s="33">
        <f t="shared" si="8"/>
        <v>0.78580192833962204</v>
      </c>
      <c r="S24" s="41">
        <v>1</v>
      </c>
      <c r="T24" s="41">
        <v>0.86728417994136808</v>
      </c>
      <c r="U24" s="41">
        <v>0.74296049963054778</v>
      </c>
      <c r="V24" s="38">
        <v>1266.7535480921338</v>
      </c>
      <c r="W24" s="38">
        <v>1192.8835638360435</v>
      </c>
      <c r="X24" s="38">
        <v>1053.0383501707734</v>
      </c>
      <c r="Y24" s="38">
        <v>1921.564247458261</v>
      </c>
      <c r="Z24" s="38">
        <v>1797.1888830612895</v>
      </c>
      <c r="AA24" s="38">
        <v>1570.3176675286136</v>
      </c>
      <c r="AB24" s="43"/>
      <c r="AC24" s="43"/>
      <c r="AD24" s="43"/>
      <c r="AE24" s="38">
        <v>0.55976736548481387</v>
      </c>
      <c r="AF24" s="38">
        <v>0.54518500989666641</v>
      </c>
      <c r="AG24" s="38">
        <v>0.520722008263656</v>
      </c>
      <c r="AH24" s="38">
        <v>0.84912251323829468</v>
      </c>
      <c r="AI24" s="38">
        <v>0.81571709987194918</v>
      </c>
      <c r="AJ24" s="38">
        <v>0.75929334580689789</v>
      </c>
      <c r="AK24" s="44"/>
      <c r="AL24" s="44"/>
      <c r="AM24" s="44"/>
      <c r="AN24" s="39">
        <v>0</v>
      </c>
      <c r="AO24" s="39">
        <v>16.46797372632934</v>
      </c>
      <c r="AP24" s="39">
        <v>25.539117155918209</v>
      </c>
      <c r="AQ24" s="39">
        <v>0</v>
      </c>
      <c r="AR24" s="39">
        <v>29.751834322758061</v>
      </c>
      <c r="AS24" s="39">
        <v>46.16322044080848</v>
      </c>
      <c r="AT24" s="43"/>
      <c r="AU24" s="43"/>
      <c r="AV24" s="43"/>
      <c r="AW24" s="39">
        <v>0</v>
      </c>
      <c r="AX24" s="39">
        <v>9.1488742924051899E-3</v>
      </c>
      <c r="AY24" s="39">
        <v>1.4188398419954562E-2</v>
      </c>
      <c r="AZ24" s="39">
        <v>0</v>
      </c>
      <c r="BA24" s="39">
        <v>1.65287968459767E-2</v>
      </c>
      <c r="BB24" s="39">
        <v>2.6508582532724142E-2</v>
      </c>
      <c r="BC24" s="44"/>
      <c r="BD24" s="44"/>
      <c r="BE24" s="44"/>
      <c r="BG24" s="40">
        <v>7.4352456639096773E-3</v>
      </c>
      <c r="BH24" s="40">
        <v>7.4887916417558514E-3</v>
      </c>
    </row>
    <row r="25" spans="1:60">
      <c r="B25" s="34"/>
      <c r="C25" s="22">
        <v>21</v>
      </c>
      <c r="D25" s="33">
        <f t="shared" si="3"/>
        <v>2521.7814808464145</v>
      </c>
      <c r="E25" s="33">
        <f t="shared" si="9"/>
        <v>2411.6350925923875</v>
      </c>
      <c r="F25" s="33">
        <f t="shared" si="10"/>
        <v>2159.0827020995025</v>
      </c>
      <c r="G25" s="33">
        <f t="shared" si="4"/>
        <v>1963.78558473525</v>
      </c>
      <c r="H25" s="33">
        <f t="shared" si="4"/>
        <v>1868.8944687413616</v>
      </c>
      <c r="I25" s="33">
        <f t="shared" si="4"/>
        <v>1657.0438918906534</v>
      </c>
      <c r="J25" s="41">
        <v>2263.0000000000005</v>
      </c>
      <c r="K25" s="41">
        <v>1867.8747466278669</v>
      </c>
      <c r="L25" s="41">
        <v>1487.8553448017931</v>
      </c>
      <c r="M25" s="33">
        <f t="shared" si="5"/>
        <v>1.1143532836263432</v>
      </c>
      <c r="N25" s="33">
        <f t="shared" si="1"/>
        <v>1.104721432159764</v>
      </c>
      <c r="O25" s="33">
        <f t="shared" si="2"/>
        <v>1.0680898207048328</v>
      </c>
      <c r="P25" s="33">
        <f t="shared" si="6"/>
        <v>0.86777975463334078</v>
      </c>
      <c r="Q25" s="33">
        <f t="shared" si="7"/>
        <v>0.85111172214919961</v>
      </c>
      <c r="R25" s="33">
        <f t="shared" si="8"/>
        <v>0.80458624792374167</v>
      </c>
      <c r="S25" s="41">
        <v>1</v>
      </c>
      <c r="T25" s="41">
        <v>0.86728417994136808</v>
      </c>
      <c r="U25" s="41">
        <v>0.74296049963054778</v>
      </c>
      <c r="V25" s="38">
        <v>2521.7814808464145</v>
      </c>
      <c r="W25" s="38">
        <v>2378.3250764527329</v>
      </c>
      <c r="X25" s="38">
        <v>2107.3709601809596</v>
      </c>
      <c r="Y25" s="38">
        <v>1963.78558473525</v>
      </c>
      <c r="Z25" s="38">
        <v>1838.1521018081044</v>
      </c>
      <c r="AA25" s="38">
        <v>1609.293765542011</v>
      </c>
      <c r="AB25" s="43"/>
      <c r="AC25" s="43"/>
      <c r="AD25" s="43"/>
      <c r="AE25" s="38">
        <v>1.1143532836263432</v>
      </c>
      <c r="AF25" s="38">
        <v>1.0862158676377338</v>
      </c>
      <c r="AG25" s="38">
        <v>1.0393610751945312</v>
      </c>
      <c r="AH25" s="38">
        <v>0.86777975463334078</v>
      </c>
      <c r="AI25" s="38">
        <v>0.83403262940850109</v>
      </c>
      <c r="AJ25" s="38">
        <v>0.7771664069080132</v>
      </c>
      <c r="AK25" s="44"/>
      <c r="AL25" s="44"/>
      <c r="AM25" s="44"/>
      <c r="AN25" s="39">
        <v>0</v>
      </c>
      <c r="AO25" s="39">
        <v>33.310016139654593</v>
      </c>
      <c r="AP25" s="39">
        <v>51.711741918543012</v>
      </c>
      <c r="AQ25" s="39">
        <v>0</v>
      </c>
      <c r="AR25" s="39">
        <v>30.742366933257333</v>
      </c>
      <c r="AS25" s="39">
        <v>47.750126348642482</v>
      </c>
      <c r="AT25" s="43"/>
      <c r="AU25" s="43"/>
      <c r="AV25" s="43"/>
      <c r="AW25" s="39">
        <v>0</v>
      </c>
      <c r="AX25" s="39">
        <v>1.8505564522030334E-2</v>
      </c>
      <c r="AY25" s="39">
        <v>2.8728745510301679E-2</v>
      </c>
      <c r="AZ25" s="39">
        <v>0</v>
      </c>
      <c r="BA25" s="39">
        <v>1.7079092740698514E-2</v>
      </c>
      <c r="BB25" s="39">
        <v>2.7419841015728461E-2</v>
      </c>
      <c r="BC25" s="44"/>
      <c r="BD25" s="44"/>
      <c r="BE25" s="44"/>
      <c r="BG25" s="40">
        <v>7.4759055110293852E-3</v>
      </c>
      <c r="BH25" s="40">
        <v>7.5304883789462443E-3</v>
      </c>
    </row>
    <row r="26" spans="1:60">
      <c r="A26" s="46"/>
      <c r="B26" s="46"/>
      <c r="C26" s="22">
        <v>22</v>
      </c>
      <c r="D26" s="33">
        <f t="shared" si="3"/>
        <v>1266.7535480921338</v>
      </c>
      <c r="E26" s="33">
        <f t="shared" si="9"/>
        <v>1209.3515375623729</v>
      </c>
      <c r="F26" s="33">
        <f t="shared" si="10"/>
        <v>1078.5774673266915</v>
      </c>
      <c r="G26" s="33">
        <f t="shared" si="4"/>
        <v>1921.564247458261</v>
      </c>
      <c r="H26" s="33">
        <f t="shared" si="4"/>
        <v>1826.9407173840475</v>
      </c>
      <c r="I26" s="33">
        <f t="shared" si="4"/>
        <v>1616.4808879694222</v>
      </c>
      <c r="J26" s="41">
        <v>2263.0000000000005</v>
      </c>
      <c r="K26" s="41">
        <v>1867.8747466278669</v>
      </c>
      <c r="L26" s="41">
        <v>1487.8553448017931</v>
      </c>
      <c r="M26" s="33">
        <f t="shared" si="5"/>
        <v>0.55976736548481387</v>
      </c>
      <c r="N26" s="33">
        <f t="shared" si="1"/>
        <v>0.55433388418907159</v>
      </c>
      <c r="O26" s="33">
        <f t="shared" si="2"/>
        <v>0.53491040668361056</v>
      </c>
      <c r="P26" s="33">
        <f t="shared" si="6"/>
        <v>0.84912251323829468</v>
      </c>
      <c r="Q26" s="33">
        <f t="shared" si="7"/>
        <v>0.83224589671792593</v>
      </c>
      <c r="R26" s="33">
        <f t="shared" si="8"/>
        <v>0.78580192833962204</v>
      </c>
      <c r="S26" s="41">
        <v>1</v>
      </c>
      <c r="T26" s="41">
        <v>0.86728417994136808</v>
      </c>
      <c r="U26" s="41">
        <v>0.74296049963054778</v>
      </c>
      <c r="V26" s="38">
        <v>1266.7535480921338</v>
      </c>
      <c r="W26" s="38">
        <v>1192.8835638360435</v>
      </c>
      <c r="X26" s="38">
        <v>1053.0383501707734</v>
      </c>
      <c r="Y26" s="38">
        <v>1921.564247458261</v>
      </c>
      <c r="Z26" s="38">
        <v>1797.1888830612895</v>
      </c>
      <c r="AA26" s="38">
        <v>1570.3176675286136</v>
      </c>
      <c r="AB26" s="43"/>
      <c r="AC26" s="43"/>
      <c r="AD26" s="43"/>
      <c r="AE26" s="38">
        <v>0.55976736548481387</v>
      </c>
      <c r="AF26" s="38">
        <v>0.54518500989666641</v>
      </c>
      <c r="AG26" s="38">
        <v>0.520722008263656</v>
      </c>
      <c r="AH26" s="38">
        <v>0.84912251323829468</v>
      </c>
      <c r="AI26" s="38">
        <v>0.81571709987194918</v>
      </c>
      <c r="AJ26" s="38">
        <v>0.75929334580689789</v>
      </c>
      <c r="AK26" s="44"/>
      <c r="AL26" s="44"/>
      <c r="AM26" s="44"/>
      <c r="AN26" s="39">
        <v>0</v>
      </c>
      <c r="AO26" s="39">
        <v>16.46797372632934</v>
      </c>
      <c r="AP26" s="39">
        <v>25.539117155918209</v>
      </c>
      <c r="AQ26" s="39">
        <v>0</v>
      </c>
      <c r="AR26" s="39">
        <v>29.751834322758061</v>
      </c>
      <c r="AS26" s="39">
        <v>46.16322044080848</v>
      </c>
      <c r="AT26" s="43"/>
      <c r="AU26" s="43"/>
      <c r="AV26" s="43"/>
      <c r="AW26" s="39">
        <v>0</v>
      </c>
      <c r="AX26" s="39">
        <v>9.1488742924051899E-3</v>
      </c>
      <c r="AY26" s="39">
        <v>1.4188398419954562E-2</v>
      </c>
      <c r="AZ26" s="39">
        <v>0</v>
      </c>
      <c r="BA26" s="39">
        <v>1.65287968459767E-2</v>
      </c>
      <c r="BB26" s="39">
        <v>2.6508582532724142E-2</v>
      </c>
      <c r="BC26" s="44"/>
      <c r="BD26" s="44"/>
      <c r="BE26" s="44"/>
      <c r="BG26" s="40">
        <v>7.4352456639096773E-3</v>
      </c>
      <c r="BH26" s="40">
        <v>7.4887916417558514E-3</v>
      </c>
    </row>
    <row r="27" spans="1:60">
      <c r="A27" s="46"/>
      <c r="B27" s="46"/>
      <c r="C27" s="22">
        <v>23</v>
      </c>
      <c r="D27" s="33">
        <f t="shared" si="3"/>
        <v>1293.9443937064063</v>
      </c>
      <c r="E27" s="33">
        <f t="shared" si="9"/>
        <v>1238.4006985286558</v>
      </c>
      <c r="F27" s="33">
        <f t="shared" si="10"/>
        <v>1110.8390604028671</v>
      </c>
      <c r="G27" s="33">
        <f t="shared" si="4"/>
        <v>797.03479487102959</v>
      </c>
      <c r="H27" s="33">
        <f t="shared" si="4"/>
        <v>758.84347466440806</v>
      </c>
      <c r="I27" s="33">
        <f t="shared" si="4"/>
        <v>673.53510844164339</v>
      </c>
      <c r="J27" s="41">
        <v>2263.0000000000005</v>
      </c>
      <c r="K27" s="41">
        <v>1867.8747466278669</v>
      </c>
      <c r="L27" s="41">
        <v>1487.8553448017931</v>
      </c>
      <c r="M27" s="33">
        <f t="shared" si="5"/>
        <v>0.57178276345842083</v>
      </c>
      <c r="N27" s="33">
        <f t="shared" si="1"/>
        <v>0.56678164682361076</v>
      </c>
      <c r="O27" s="33">
        <f t="shared" si="2"/>
        <v>0.54787107572230587</v>
      </c>
      <c r="P27" s="33">
        <f t="shared" si="6"/>
        <v>0.35220273745958003</v>
      </c>
      <c r="Q27" s="33">
        <f t="shared" si="7"/>
        <v>0.34548572555876172</v>
      </c>
      <c r="R27" s="33">
        <f t="shared" si="8"/>
        <v>0.32670901975105177</v>
      </c>
      <c r="S27" s="41">
        <v>1</v>
      </c>
      <c r="T27" s="41">
        <v>0.86728417994136808</v>
      </c>
      <c r="U27" s="41">
        <v>0.74296049963054778</v>
      </c>
      <c r="V27" s="38">
        <v>1293.9443937064063</v>
      </c>
      <c r="W27" s="38">
        <v>1221.3665811488181</v>
      </c>
      <c r="X27" s="38">
        <v>1084.4688351157956</v>
      </c>
      <c r="Y27" s="38">
        <v>797.03479487102959</v>
      </c>
      <c r="Z27" s="38">
        <v>746.41667000934785</v>
      </c>
      <c r="AA27" s="38">
        <v>654.2874810867246</v>
      </c>
      <c r="AB27" s="43"/>
      <c r="AC27" s="43"/>
      <c r="AD27" s="43"/>
      <c r="AE27" s="38">
        <v>0.57178276345842083</v>
      </c>
      <c r="AF27" s="38">
        <v>0.55731824827925658</v>
      </c>
      <c r="AG27" s="38">
        <v>0.5332209505628217</v>
      </c>
      <c r="AH27" s="38">
        <v>0.35220273745958003</v>
      </c>
      <c r="AI27" s="38">
        <v>0.33858194519483936</v>
      </c>
      <c r="AJ27" s="38">
        <v>0.31565633942622023</v>
      </c>
      <c r="AK27" s="44"/>
      <c r="AL27" s="44"/>
      <c r="AM27" s="44"/>
      <c r="AN27" s="39">
        <v>0</v>
      </c>
      <c r="AO27" s="39">
        <v>17.034117379837582</v>
      </c>
      <c r="AP27" s="39">
        <v>26.370225287071509</v>
      </c>
      <c r="AQ27" s="39">
        <v>0</v>
      </c>
      <c r="AR27" s="39">
        <v>12.426804655060241</v>
      </c>
      <c r="AS27" s="39">
        <v>19.247627354918826</v>
      </c>
      <c r="AT27" s="43"/>
      <c r="AU27" s="43"/>
      <c r="AV27" s="43"/>
      <c r="AW27" s="39">
        <v>0</v>
      </c>
      <c r="AX27" s="39">
        <v>9.4633985443542141E-3</v>
      </c>
      <c r="AY27" s="39">
        <v>1.4650125159484172E-2</v>
      </c>
      <c r="AZ27" s="39">
        <v>0</v>
      </c>
      <c r="BA27" s="39">
        <v>6.9037803639223549E-3</v>
      </c>
      <c r="BB27" s="39">
        <v>1.1052680324831525E-2</v>
      </c>
      <c r="BC27" s="44"/>
      <c r="BD27" s="44"/>
      <c r="BE27" s="44"/>
      <c r="BG27" s="40">
        <v>7.3804162922555747E-3</v>
      </c>
      <c r="BH27" s="40">
        <v>7.4343134417097848E-3</v>
      </c>
    </row>
    <row r="28" spans="1:60">
      <c r="B28" s="34"/>
      <c r="C28" s="22">
        <v>24</v>
      </c>
      <c r="D28" s="33">
        <f t="shared" si="3"/>
        <v>2033.1767891248523</v>
      </c>
      <c r="E28" s="33">
        <f t="shared" si="9"/>
        <v>1943.6240131833777</v>
      </c>
      <c r="F28" s="33">
        <f t="shared" si="10"/>
        <v>1738.8972396043432</v>
      </c>
      <c r="G28" s="33">
        <f t="shared" si="4"/>
        <v>1118.1601363321709</v>
      </c>
      <c r="H28" s="33">
        <f t="shared" si="4"/>
        <v>1064.3555066038803</v>
      </c>
      <c r="I28" s="33">
        <f t="shared" si="4"/>
        <v>944.29047326108173</v>
      </c>
      <c r="J28" s="41">
        <v>2263.0000000000005</v>
      </c>
      <c r="K28" s="41">
        <v>1867.8747466278669</v>
      </c>
      <c r="L28" s="41">
        <v>1487.8553448017931</v>
      </c>
      <c r="M28" s="33">
        <f t="shared" si="5"/>
        <v>0.8984431237847339</v>
      </c>
      <c r="N28" s="33">
        <f t="shared" si="1"/>
        <v>0.89033783509843867</v>
      </c>
      <c r="O28" s="33">
        <f t="shared" si="2"/>
        <v>0.86034508992509973</v>
      </c>
      <c r="P28" s="33">
        <f t="shared" si="6"/>
        <v>0.4941052303721481</v>
      </c>
      <c r="Q28" s="33">
        <f t="shared" si="7"/>
        <v>0.48468858566741324</v>
      </c>
      <c r="R28" s="33">
        <f t="shared" si="8"/>
        <v>0.45839949079595743</v>
      </c>
      <c r="S28" s="41">
        <v>1</v>
      </c>
      <c r="T28" s="41">
        <v>0.86728417994136808</v>
      </c>
      <c r="U28" s="41">
        <v>0.74296049963054778</v>
      </c>
      <c r="V28" s="38">
        <v>2033.1767891248523</v>
      </c>
      <c r="W28" s="38">
        <v>1917.1399309216326</v>
      </c>
      <c r="X28" s="38">
        <v>1697.9074631845529</v>
      </c>
      <c r="Y28" s="38">
        <v>1118.1601363321709</v>
      </c>
      <c r="Z28" s="38">
        <v>1046.975730351624</v>
      </c>
      <c r="AA28" s="38">
        <v>917.37770439574706</v>
      </c>
      <c r="AB28" s="43"/>
      <c r="AC28" s="43"/>
      <c r="AD28" s="43"/>
      <c r="AE28" s="38">
        <v>0.8984431237847339</v>
      </c>
      <c r="AF28" s="38">
        <v>0.87562445606413586</v>
      </c>
      <c r="AG28" s="38">
        <v>0.83757299191410506</v>
      </c>
      <c r="AH28" s="38">
        <v>0.4941052303721481</v>
      </c>
      <c r="AI28" s="38">
        <v>0.47503315441615979</v>
      </c>
      <c r="AJ28" s="38">
        <v>0.44294521035714757</v>
      </c>
      <c r="AK28" s="44"/>
      <c r="AL28" s="44"/>
      <c r="AM28" s="44"/>
      <c r="AN28" s="39">
        <v>0</v>
      </c>
      <c r="AO28" s="39">
        <v>26.484082261745023</v>
      </c>
      <c r="AP28" s="39">
        <v>40.989776419790374</v>
      </c>
      <c r="AQ28" s="39">
        <v>0</v>
      </c>
      <c r="AR28" s="39">
        <v>17.379776252256232</v>
      </c>
      <c r="AS28" s="39">
        <v>26.912768865334712</v>
      </c>
      <c r="AT28" s="43"/>
      <c r="AU28" s="43"/>
      <c r="AV28" s="43"/>
      <c r="AW28" s="39">
        <v>0</v>
      </c>
      <c r="AX28" s="39">
        <v>1.4713379034302792E-2</v>
      </c>
      <c r="AY28" s="39">
        <v>2.2772098010994651E-2</v>
      </c>
      <c r="AZ28" s="39">
        <v>0</v>
      </c>
      <c r="BA28" s="39">
        <v>9.6554312512534598E-3</v>
      </c>
      <c r="BB28" s="39">
        <v>1.5454280438809856E-2</v>
      </c>
      <c r="BC28" s="44"/>
      <c r="BD28" s="44"/>
      <c r="BE28" s="44"/>
      <c r="BG28" s="40">
        <v>7.3806930534847824E-3</v>
      </c>
      <c r="BH28" s="40">
        <v>7.4345931994519972E-3</v>
      </c>
    </row>
    <row r="29" spans="1:60">
      <c r="A29" s="34"/>
      <c r="C29" s="22">
        <v>25</v>
      </c>
      <c r="D29" s="33">
        <f t="shared" si="3"/>
        <v>1673.9716370883048</v>
      </c>
      <c r="E29" s="33">
        <f t="shared" si="9"/>
        <v>1600.9920132983616</v>
      </c>
      <c r="F29" s="33">
        <f t="shared" si="10"/>
        <v>1433.8508929141615</v>
      </c>
      <c r="G29" s="33">
        <f t="shared" si="4"/>
        <v>544.73065202466773</v>
      </c>
      <c r="H29" s="33">
        <f t="shared" si="4"/>
        <v>518.89164823078636</v>
      </c>
      <c r="I29" s="33">
        <f t="shared" si="4"/>
        <v>460.9924052786958</v>
      </c>
      <c r="J29" s="41">
        <v>2263.0000000000005</v>
      </c>
      <c r="K29" s="41">
        <v>1867.8747466278669</v>
      </c>
      <c r="L29" s="41">
        <v>1487.8553448017931</v>
      </c>
      <c r="M29" s="33">
        <f t="shared" si="5"/>
        <v>0.73971349407348874</v>
      </c>
      <c r="N29" s="33">
        <f t="shared" si="1"/>
        <v>0.73296622006229906</v>
      </c>
      <c r="O29" s="33">
        <f t="shared" si="2"/>
        <v>0.70804295945848039</v>
      </c>
      <c r="P29" s="33">
        <f t="shared" si="6"/>
        <v>0.24071173310855842</v>
      </c>
      <c r="Q29" s="33">
        <f t="shared" si="7"/>
        <v>0.23619310343237038</v>
      </c>
      <c r="R29" s="33">
        <f t="shared" si="8"/>
        <v>0.22343781267669677</v>
      </c>
      <c r="S29" s="41">
        <v>1</v>
      </c>
      <c r="T29" s="41">
        <v>0.86728417994136808</v>
      </c>
      <c r="U29" s="41">
        <v>0.74296049963054778</v>
      </c>
      <c r="V29" s="38">
        <v>1673.9716370883048</v>
      </c>
      <c r="W29" s="38">
        <v>1579.0676301389396</v>
      </c>
      <c r="X29" s="38">
        <v>1399.8746830709649</v>
      </c>
      <c r="Y29" s="38">
        <v>544.73065202466773</v>
      </c>
      <c r="Z29" s="38">
        <v>510.30198660358212</v>
      </c>
      <c r="AA29" s="38">
        <v>447.67416347231534</v>
      </c>
      <c r="AB29" s="43"/>
      <c r="AC29" s="43"/>
      <c r="AD29" s="43"/>
      <c r="AE29" s="38">
        <v>0.73971349407348874</v>
      </c>
      <c r="AF29" s="38">
        <v>0.72078600719595354</v>
      </c>
      <c r="AG29" s="38">
        <v>0.68916728732337129</v>
      </c>
      <c r="AH29" s="38">
        <v>0.24071173310855842</v>
      </c>
      <c r="AI29" s="38">
        <v>0.23142106919503472</v>
      </c>
      <c r="AJ29" s="38">
        <v>0.21578999892488326</v>
      </c>
      <c r="AK29" s="44"/>
      <c r="AL29" s="44"/>
      <c r="AM29" s="44"/>
      <c r="AN29" s="39">
        <v>0</v>
      </c>
      <c r="AO29" s="39">
        <v>21.924383159421986</v>
      </c>
      <c r="AP29" s="39">
        <v>33.976209843196465</v>
      </c>
      <c r="AQ29" s="39">
        <v>0</v>
      </c>
      <c r="AR29" s="39">
        <v>8.5896616272042081</v>
      </c>
      <c r="AS29" s="39">
        <v>13.318241806380456</v>
      </c>
      <c r="AT29" s="43"/>
      <c r="AU29" s="43"/>
      <c r="AV29" s="43"/>
      <c r="AW29" s="39">
        <v>0</v>
      </c>
      <c r="AX29" s="39">
        <v>1.218021286634555E-2</v>
      </c>
      <c r="AY29" s="39">
        <v>1.8875672135109149E-2</v>
      </c>
      <c r="AZ29" s="39">
        <v>0</v>
      </c>
      <c r="BA29" s="39">
        <v>4.7720342373356699E-3</v>
      </c>
      <c r="BB29" s="39">
        <v>7.6478137518135062E-3</v>
      </c>
      <c r="BC29" s="44"/>
      <c r="BD29" s="44"/>
      <c r="BE29" s="44"/>
      <c r="BG29" s="40">
        <v>7.4246550557902887E-3</v>
      </c>
      <c r="BH29" s="40">
        <v>7.4788709782084529E-3</v>
      </c>
    </row>
    <row r="30" spans="1:60">
      <c r="A30" s="34"/>
      <c r="C30" s="22">
        <v>26</v>
      </c>
      <c r="D30" s="33">
        <f t="shared" si="3"/>
        <v>3003.1075435534153</v>
      </c>
      <c r="E30" s="33">
        <f t="shared" si="9"/>
        <v>2873.0768767968002</v>
      </c>
      <c r="F30" s="33">
        <f t="shared" si="10"/>
        <v>2575.3298661417075</v>
      </c>
      <c r="G30" s="33">
        <f t="shared" si="4"/>
        <v>849.89297353103188</v>
      </c>
      <c r="H30" s="33">
        <f t="shared" si="4"/>
        <v>809.58071451221815</v>
      </c>
      <c r="I30" s="33">
        <f t="shared" si="4"/>
        <v>719.51219675870493</v>
      </c>
      <c r="J30" s="41">
        <v>2263.0000000000005</v>
      </c>
      <c r="K30" s="41">
        <v>1867.8747466278669</v>
      </c>
      <c r="L30" s="41">
        <v>1487.8553448017931</v>
      </c>
      <c r="M30" s="33">
        <f t="shared" si="5"/>
        <v>1.3270470806687651</v>
      </c>
      <c r="N30" s="33">
        <f t="shared" si="1"/>
        <v>1.3163765116851989</v>
      </c>
      <c r="O30" s="33">
        <f t="shared" si="2"/>
        <v>1.2747699820521554</v>
      </c>
      <c r="P30" s="33">
        <f t="shared" si="6"/>
        <v>0.37556030646532557</v>
      </c>
      <c r="Q30" s="33">
        <f t="shared" si="7"/>
        <v>0.3688573580039895</v>
      </c>
      <c r="R30" s="33">
        <f t="shared" si="8"/>
        <v>0.34980184310724383</v>
      </c>
      <c r="S30" s="41">
        <v>1</v>
      </c>
      <c r="T30" s="41">
        <v>0.86728417994136808</v>
      </c>
      <c r="U30" s="41">
        <v>0.74296049963054778</v>
      </c>
      <c r="V30" s="38">
        <v>3003.1075435534153</v>
      </c>
      <c r="W30" s="38">
        <v>2833.9564297588122</v>
      </c>
      <c r="X30" s="38">
        <v>2514.7719154406586</v>
      </c>
      <c r="Y30" s="38">
        <v>849.89297353103188</v>
      </c>
      <c r="Z30" s="38">
        <v>796.37086755857081</v>
      </c>
      <c r="AA30" s="38">
        <v>699.05299491692051</v>
      </c>
      <c r="AB30" s="43"/>
      <c r="AC30" s="43"/>
      <c r="AD30" s="43"/>
      <c r="AE30" s="38">
        <v>1.3270470806687651</v>
      </c>
      <c r="AF30" s="38">
        <v>1.2946429299974276</v>
      </c>
      <c r="AG30" s="38">
        <v>1.2411266761071282</v>
      </c>
      <c r="AH30" s="38">
        <v>0.37556030646532557</v>
      </c>
      <c r="AI30" s="38">
        <v>0.3615185541408521</v>
      </c>
      <c r="AJ30" s="38">
        <v>0.33805343310902869</v>
      </c>
      <c r="AK30" s="44"/>
      <c r="AL30" s="44"/>
      <c r="AM30" s="44"/>
      <c r="AN30" s="39">
        <v>0</v>
      </c>
      <c r="AO30" s="39">
        <v>39.120447037988228</v>
      </c>
      <c r="AP30" s="39">
        <v>60.557950701049059</v>
      </c>
      <c r="AQ30" s="39">
        <v>0</v>
      </c>
      <c r="AR30" s="39">
        <v>13.209846953647292</v>
      </c>
      <c r="AS30" s="39">
        <v>20.459201841784402</v>
      </c>
      <c r="AT30" s="43"/>
      <c r="AU30" s="43"/>
      <c r="AV30" s="43"/>
      <c r="AW30" s="39">
        <v>0</v>
      </c>
      <c r="AX30" s="39">
        <v>2.1733581687771238E-2</v>
      </c>
      <c r="AY30" s="39">
        <v>3.3643305945027256E-2</v>
      </c>
      <c r="AZ30" s="39">
        <v>0</v>
      </c>
      <c r="BA30" s="39">
        <v>7.3388038631373824E-3</v>
      </c>
      <c r="BB30" s="39">
        <v>1.1748409998215133E-2</v>
      </c>
      <c r="BC30" s="44"/>
      <c r="BD30" s="44"/>
      <c r="BE30" s="44"/>
      <c r="BG30" s="40">
        <v>7.386720179071919E-3</v>
      </c>
      <c r="BH30" s="40">
        <v>7.4406636170254612E-3</v>
      </c>
    </row>
    <row r="31" spans="1:60">
      <c r="A31" s="34"/>
      <c r="C31" s="22">
        <v>27</v>
      </c>
      <c r="D31" s="33">
        <f t="shared" si="3"/>
        <v>3405.7702748722268</v>
      </c>
      <c r="E31" s="33">
        <f t="shared" si="9"/>
        <v>3257.011955792846</v>
      </c>
      <c r="F31" s="33">
        <f t="shared" si="10"/>
        <v>2917.3439016860816</v>
      </c>
      <c r="G31" s="33">
        <f t="shared" si="4"/>
        <v>1648.8981480451387</v>
      </c>
      <c r="H31" s="33">
        <f t="shared" si="4"/>
        <v>1567.3722396486901</v>
      </c>
      <c r="I31" s="33">
        <f t="shared" si="4"/>
        <v>1386.1848140864136</v>
      </c>
      <c r="J31" s="41">
        <v>2263.0000000000005</v>
      </c>
      <c r="K31" s="41">
        <v>1867.8747466278669</v>
      </c>
      <c r="L31" s="41">
        <v>1487.8553448017931</v>
      </c>
      <c r="M31" s="33">
        <f t="shared" si="5"/>
        <v>1.5049802363553808</v>
      </c>
      <c r="N31" s="33">
        <f t="shared" si="1"/>
        <v>1.4918985630135058</v>
      </c>
      <c r="O31" s="33">
        <f t="shared" si="2"/>
        <v>1.4430613085593327</v>
      </c>
      <c r="P31" s="33">
        <f t="shared" si="6"/>
        <v>0.72863373753651717</v>
      </c>
      <c r="Q31" s="33">
        <f t="shared" si="7"/>
        <v>0.71417049435071078</v>
      </c>
      <c r="R31" s="33">
        <f t="shared" si="8"/>
        <v>0.67439633714059299</v>
      </c>
      <c r="S31" s="41">
        <v>1</v>
      </c>
      <c r="T31" s="41">
        <v>0.86728417994136808</v>
      </c>
      <c r="U31" s="41">
        <v>0.74296049963054778</v>
      </c>
      <c r="V31" s="38">
        <v>3405.7702748722268</v>
      </c>
      <c r="W31" s="38">
        <v>3213.0395077999615</v>
      </c>
      <c r="X31" s="38">
        <v>2849.1979603230488</v>
      </c>
      <c r="Y31" s="38">
        <v>1648.8981480451387</v>
      </c>
      <c r="Z31" s="38">
        <v>1541.8976617571359</v>
      </c>
      <c r="AA31" s="38">
        <v>1346.662729505721</v>
      </c>
      <c r="AB31" s="43"/>
      <c r="AC31" s="43"/>
      <c r="AD31" s="43"/>
      <c r="AE31" s="38">
        <v>1.5049802363553808</v>
      </c>
      <c r="AF31" s="38">
        <v>1.4674694252396809</v>
      </c>
      <c r="AG31" s="38">
        <v>1.4052024522465367</v>
      </c>
      <c r="AH31" s="38">
        <v>0.72863373753651717</v>
      </c>
      <c r="AI31" s="38">
        <v>0.7000179510776251</v>
      </c>
      <c r="AJ31" s="38">
        <v>0.65170133382478357</v>
      </c>
      <c r="AK31" s="44"/>
      <c r="AL31" s="44"/>
      <c r="AM31" s="44"/>
      <c r="AN31" s="39">
        <v>0</v>
      </c>
      <c r="AO31" s="39">
        <v>43.972447992884611</v>
      </c>
      <c r="AP31" s="39">
        <v>68.145941363032804</v>
      </c>
      <c r="AQ31" s="39">
        <v>0</v>
      </c>
      <c r="AR31" s="39">
        <v>25.474577891554137</v>
      </c>
      <c r="AS31" s="39">
        <v>39.52208458069245</v>
      </c>
      <c r="AT31" s="43"/>
      <c r="AU31" s="43"/>
      <c r="AV31" s="43"/>
      <c r="AW31" s="39">
        <v>0</v>
      </c>
      <c r="AX31" s="39">
        <v>2.4429137773824789E-2</v>
      </c>
      <c r="AY31" s="39">
        <v>3.7858856312796001E-2</v>
      </c>
      <c r="AZ31" s="39">
        <v>0</v>
      </c>
      <c r="BA31" s="39">
        <v>1.4152543273085629E-2</v>
      </c>
      <c r="BB31" s="39">
        <v>2.2695003315809426E-2</v>
      </c>
      <c r="BC31" s="44"/>
      <c r="BD31" s="44"/>
      <c r="BE31" s="44"/>
      <c r="BG31" s="40">
        <v>7.4207272195669109E-3</v>
      </c>
      <c r="BH31" s="40">
        <v>7.4950336506305615E-3</v>
      </c>
    </row>
    <row r="32" spans="1:60">
      <c r="B32" s="34"/>
      <c r="C32" s="22">
        <v>28</v>
      </c>
      <c r="D32" s="33">
        <f t="shared" si="3"/>
        <v>3405.7702748722268</v>
      </c>
      <c r="E32" s="33">
        <f t="shared" si="9"/>
        <v>3257.011955792846</v>
      </c>
      <c r="F32" s="33">
        <f t="shared" si="10"/>
        <v>2917.3439016860816</v>
      </c>
      <c r="G32" s="33">
        <f t="shared" si="4"/>
        <v>1648.8981480451387</v>
      </c>
      <c r="H32" s="33">
        <f t="shared" si="4"/>
        <v>1567.3722396486901</v>
      </c>
      <c r="I32" s="33">
        <f t="shared" si="4"/>
        <v>1386.1848140864136</v>
      </c>
      <c r="J32" s="41">
        <v>2263.0000000000005</v>
      </c>
      <c r="K32" s="41">
        <v>1867.8747466278669</v>
      </c>
      <c r="L32" s="41">
        <v>1487.8553448017931</v>
      </c>
      <c r="M32" s="33">
        <f t="shared" si="5"/>
        <v>1.5049802363553808</v>
      </c>
      <c r="N32" s="33">
        <f t="shared" si="1"/>
        <v>1.4918985630135058</v>
      </c>
      <c r="O32" s="33">
        <f t="shared" si="2"/>
        <v>1.4430613085593327</v>
      </c>
      <c r="P32" s="33">
        <f t="shared" si="6"/>
        <v>0.72863373753651717</v>
      </c>
      <c r="Q32" s="33">
        <f t="shared" si="7"/>
        <v>0.71417049435071078</v>
      </c>
      <c r="R32" s="33">
        <f t="shared" si="8"/>
        <v>0.67439633714059299</v>
      </c>
      <c r="S32" s="41">
        <v>1</v>
      </c>
      <c r="T32" s="41">
        <v>0.86728417994136808</v>
      </c>
      <c r="U32" s="41">
        <v>0.74296049963054778</v>
      </c>
      <c r="V32" s="38">
        <v>3405.7702748722268</v>
      </c>
      <c r="W32" s="38">
        <v>3213.0395077999615</v>
      </c>
      <c r="X32" s="38">
        <v>2849.1979603230488</v>
      </c>
      <c r="Y32" s="38">
        <v>1648.8981480451387</v>
      </c>
      <c r="Z32" s="38">
        <v>1541.8976617571359</v>
      </c>
      <c r="AA32" s="38">
        <v>1346.662729505721</v>
      </c>
      <c r="AB32" s="43"/>
      <c r="AC32" s="43"/>
      <c r="AD32" s="43"/>
      <c r="AE32" s="38">
        <v>1.5049802363553808</v>
      </c>
      <c r="AF32" s="38">
        <v>1.4674694252396809</v>
      </c>
      <c r="AG32" s="38">
        <v>1.4052024522465367</v>
      </c>
      <c r="AH32" s="38">
        <v>0.72863373753651717</v>
      </c>
      <c r="AI32" s="38">
        <v>0.7000179510776251</v>
      </c>
      <c r="AJ32" s="38">
        <v>0.65170133382478357</v>
      </c>
      <c r="AK32" s="44"/>
      <c r="AL32" s="44"/>
      <c r="AM32" s="44"/>
      <c r="AN32" s="39">
        <v>0</v>
      </c>
      <c r="AO32" s="39">
        <v>43.972447992884611</v>
      </c>
      <c r="AP32" s="39">
        <v>68.145941363032804</v>
      </c>
      <c r="AQ32" s="39">
        <v>0</v>
      </c>
      <c r="AR32" s="39">
        <v>25.474577891554137</v>
      </c>
      <c r="AS32" s="39">
        <v>39.52208458069245</v>
      </c>
      <c r="AT32" s="43"/>
      <c r="AU32" s="43"/>
      <c r="AV32" s="43"/>
      <c r="AW32" s="39">
        <v>0</v>
      </c>
      <c r="AX32" s="39">
        <v>2.4429137773824789E-2</v>
      </c>
      <c r="AY32" s="39">
        <v>3.7858856312796001E-2</v>
      </c>
      <c r="AZ32" s="39">
        <v>0</v>
      </c>
      <c r="BA32" s="39">
        <v>1.4152543273085629E-2</v>
      </c>
      <c r="BB32" s="39">
        <v>2.2695003315809426E-2</v>
      </c>
      <c r="BC32" s="44"/>
      <c r="BD32" s="44"/>
      <c r="BE32" s="44"/>
      <c r="BG32" s="40">
        <v>7.4207272195669109E-3</v>
      </c>
      <c r="BH32" s="40">
        <v>7.4950336506305615E-3</v>
      </c>
    </row>
    <row r="33" spans="2:60">
      <c r="B33" s="34"/>
      <c r="C33" s="22">
        <v>29</v>
      </c>
      <c r="D33" s="33">
        <f t="shared" si="3"/>
        <v>1359.9561087623163</v>
      </c>
      <c r="E33" s="33">
        <f t="shared" si="9"/>
        <v>1302.2645146569173</v>
      </c>
      <c r="F33" s="33">
        <f t="shared" si="10"/>
        <v>1169.9402687038346</v>
      </c>
      <c r="G33" s="33">
        <f t="shared" si="4"/>
        <v>399.72440634988334</v>
      </c>
      <c r="H33" s="33">
        <f t="shared" si="4"/>
        <v>381.07334417194897</v>
      </c>
      <c r="I33" s="33">
        <f t="shared" si="4"/>
        <v>339.32934945446186</v>
      </c>
      <c r="J33" s="41">
        <v>2263.0000000000005</v>
      </c>
      <c r="K33" s="41">
        <v>1867.8747466278669</v>
      </c>
      <c r="L33" s="41">
        <v>1487.8553448017931</v>
      </c>
      <c r="M33" s="33">
        <f t="shared" si="5"/>
        <v>0.60095276569258327</v>
      </c>
      <c r="N33" s="33">
        <f t="shared" si="1"/>
        <v>0.59611738866621489</v>
      </c>
      <c r="O33" s="33">
        <f t="shared" si="2"/>
        <v>0.57729411712919698</v>
      </c>
      <c r="P33" s="33">
        <f t="shared" si="6"/>
        <v>0.17663473546172484</v>
      </c>
      <c r="Q33" s="33">
        <f t="shared" si="7"/>
        <v>0.17344772971612438</v>
      </c>
      <c r="R33" s="33">
        <f t="shared" si="8"/>
        <v>0.16440959787984435</v>
      </c>
      <c r="S33" s="41">
        <v>1</v>
      </c>
      <c r="T33" s="41">
        <v>0.86728417994136808</v>
      </c>
      <c r="U33" s="41">
        <v>0.74296049963054778</v>
      </c>
      <c r="V33" s="38">
        <v>1359.9561087623163</v>
      </c>
      <c r="W33" s="38">
        <v>1284.5900170316672</v>
      </c>
      <c r="X33" s="38">
        <v>1142.5981606617115</v>
      </c>
      <c r="Y33" s="38">
        <v>399.72440634988334</v>
      </c>
      <c r="Z33" s="38">
        <v>374.85767565064526</v>
      </c>
      <c r="AA33" s="38">
        <v>329.70887595699566</v>
      </c>
      <c r="AB33" s="43"/>
      <c r="AC33" s="43"/>
      <c r="AD33" s="43"/>
      <c r="AE33" s="38">
        <v>0.60095276569258327</v>
      </c>
      <c r="AF33" s="38">
        <v>0.58629822331885373</v>
      </c>
      <c r="AG33" s="38">
        <v>0.56210405710579525</v>
      </c>
      <c r="AH33" s="38">
        <v>0.17663473546172484</v>
      </c>
      <c r="AI33" s="38">
        <v>0.16999458053762231</v>
      </c>
      <c r="AJ33" s="38">
        <v>0.15888517576898953</v>
      </c>
      <c r="AK33" s="44"/>
      <c r="AL33" s="44"/>
      <c r="AM33" s="44"/>
      <c r="AN33" s="39">
        <v>0</v>
      </c>
      <c r="AO33" s="39">
        <v>17.674497625250169</v>
      </c>
      <c r="AP33" s="39">
        <v>27.342108042123115</v>
      </c>
      <c r="AQ33" s="39">
        <v>0</v>
      </c>
      <c r="AR33" s="39">
        <v>6.2156685213037397</v>
      </c>
      <c r="AS33" s="39">
        <v>9.6204734974662145</v>
      </c>
      <c r="AT33" s="43"/>
      <c r="AU33" s="43"/>
      <c r="AV33" s="43"/>
      <c r="AW33" s="39">
        <v>0</v>
      </c>
      <c r="AX33" s="39">
        <v>9.8191653473612053E-3</v>
      </c>
      <c r="AY33" s="39">
        <v>1.5190060023401734E-2</v>
      </c>
      <c r="AZ33" s="39">
        <v>0</v>
      </c>
      <c r="BA33" s="39">
        <v>3.4531491785020768E-3</v>
      </c>
      <c r="BB33" s="39">
        <v>5.5244221108548368E-3</v>
      </c>
      <c r="BC33" s="44"/>
      <c r="BD33" s="44"/>
      <c r="BE33" s="44"/>
      <c r="BG33" s="40">
        <v>7.3651813929272673E-3</v>
      </c>
      <c r="BH33" s="40">
        <v>7.4189701933779955E-3</v>
      </c>
    </row>
    <row r="34" spans="2:60">
      <c r="B34" s="34"/>
      <c r="C34" s="22">
        <v>30</v>
      </c>
      <c r="D34" s="33">
        <f t="shared" si="3"/>
        <v>1058.7597688048231</v>
      </c>
      <c r="E34" s="33">
        <f t="shared" si="9"/>
        <v>1011.8273589276248</v>
      </c>
      <c r="F34" s="33">
        <f t="shared" si="10"/>
        <v>904.60382809255736</v>
      </c>
      <c r="G34" s="33">
        <f t="shared" si="4"/>
        <v>1539.0945002576264</v>
      </c>
      <c r="H34" s="33">
        <f t="shared" si="4"/>
        <v>1464.5709344954744</v>
      </c>
      <c r="I34" s="33">
        <f t="shared" si="4"/>
        <v>1298.4299664170592</v>
      </c>
      <c r="J34" s="41">
        <v>2263.0000000000005</v>
      </c>
      <c r="K34" s="41">
        <v>1867.8747466278669</v>
      </c>
      <c r="L34" s="41">
        <v>1487.8553448017931</v>
      </c>
      <c r="M34" s="33">
        <f t="shared" si="5"/>
        <v>0.46785672505736758</v>
      </c>
      <c r="N34" s="33">
        <f t="shared" si="1"/>
        <v>0.46348411392174738</v>
      </c>
      <c r="O34" s="33">
        <f t="shared" si="2"/>
        <v>0.4475536180280133</v>
      </c>
      <c r="P34" s="33">
        <f t="shared" si="6"/>
        <v>0.68011246144835458</v>
      </c>
      <c r="Q34" s="33">
        <f t="shared" si="7"/>
        <v>0.66669506595711492</v>
      </c>
      <c r="R34" s="33">
        <f t="shared" si="8"/>
        <v>0.62961702376486517</v>
      </c>
      <c r="S34" s="41">
        <v>1</v>
      </c>
      <c r="T34" s="41">
        <v>0.86728417994136808</v>
      </c>
      <c r="U34" s="41">
        <v>0.74296049963054778</v>
      </c>
      <c r="V34" s="38">
        <v>1058.7597688048231</v>
      </c>
      <c r="W34" s="38">
        <v>998.04908254838813</v>
      </c>
      <c r="X34" s="38">
        <v>883.29553264913113</v>
      </c>
      <c r="Y34" s="38">
        <v>1539.0945002576264</v>
      </c>
      <c r="Z34" s="38">
        <v>1440.7124890198172</v>
      </c>
      <c r="AA34" s="38">
        <v>1261.5135349144427</v>
      </c>
      <c r="AB34" s="43"/>
      <c r="AC34" s="43"/>
      <c r="AD34" s="43"/>
      <c r="AE34" s="38">
        <v>0.46785672505736758</v>
      </c>
      <c r="AF34" s="38">
        <v>0.45582951593328258</v>
      </c>
      <c r="AG34" s="38">
        <v>0.43571567611499873</v>
      </c>
      <c r="AH34" s="38">
        <v>0.68011246144835458</v>
      </c>
      <c r="AI34" s="38">
        <v>0.65344037402619426</v>
      </c>
      <c r="AJ34" s="38">
        <v>0.60841828022062838</v>
      </c>
      <c r="AK34" s="44"/>
      <c r="AL34" s="44"/>
      <c r="AM34" s="44"/>
      <c r="AN34" s="39">
        <v>0</v>
      </c>
      <c r="AO34" s="39">
        <v>13.778276379236674</v>
      </c>
      <c r="AP34" s="39">
        <v>21.308295443426196</v>
      </c>
      <c r="AQ34" s="39">
        <v>0</v>
      </c>
      <c r="AR34" s="39">
        <v>23.858445475657277</v>
      </c>
      <c r="AS34" s="39">
        <v>36.916431502616469</v>
      </c>
      <c r="AT34" s="43"/>
      <c r="AU34" s="43"/>
      <c r="AV34" s="43"/>
      <c r="AW34" s="39">
        <v>0</v>
      </c>
      <c r="AX34" s="39">
        <v>7.6545979884648195E-3</v>
      </c>
      <c r="AY34" s="39">
        <v>1.1837941913014556E-2</v>
      </c>
      <c r="AZ34" s="39">
        <v>0</v>
      </c>
      <c r="BA34" s="39">
        <v>1.3254691930920706E-2</v>
      </c>
      <c r="BB34" s="39">
        <v>2.1198743544236738E-2</v>
      </c>
      <c r="BC34" s="44"/>
      <c r="BD34" s="44"/>
      <c r="BE34" s="44"/>
      <c r="BG34" s="40">
        <v>7.3560680228604031E-3</v>
      </c>
      <c r="BH34" s="40">
        <v>7.4097914989387694E-3</v>
      </c>
    </row>
    <row r="35" spans="2:60">
      <c r="B35" s="34"/>
      <c r="C35" s="22">
        <v>31</v>
      </c>
      <c r="D35" s="33">
        <f t="shared" si="3"/>
        <v>2349.3908305811419</v>
      </c>
      <c r="E35" s="33">
        <f t="shared" si="9"/>
        <v>2251.7602399481239</v>
      </c>
      <c r="F35" s="33">
        <f t="shared" si="10"/>
        <v>2027.7853273344624</v>
      </c>
      <c r="G35" s="33">
        <f t="shared" si="4"/>
        <v>990.77369103191734</v>
      </c>
      <c r="H35" s="33">
        <f t="shared" si="4"/>
        <v>944.71216232676215</v>
      </c>
      <c r="I35" s="33">
        <f t="shared" si="4"/>
        <v>841.63311783079757</v>
      </c>
      <c r="J35" s="41">
        <v>2263.0000000000005</v>
      </c>
      <c r="K35" s="41">
        <v>1867.8747466278669</v>
      </c>
      <c r="L35" s="41">
        <v>1487.8553448017931</v>
      </c>
      <c r="M35" s="33">
        <f t="shared" si="5"/>
        <v>1.0381753559792939</v>
      </c>
      <c r="N35" s="33">
        <f t="shared" si="1"/>
        <v>1.0295891484891444</v>
      </c>
      <c r="O35" s="33">
        <f t="shared" si="2"/>
        <v>0.99682088591537377</v>
      </c>
      <c r="P35" s="33">
        <f t="shared" si="6"/>
        <v>0.43781426912590249</v>
      </c>
      <c r="Q35" s="33">
        <f t="shared" si="7"/>
        <v>0.42980733413161554</v>
      </c>
      <c r="R35" s="33">
        <f t="shared" si="8"/>
        <v>0.40721218433414974</v>
      </c>
      <c r="S35" s="41">
        <v>1</v>
      </c>
      <c r="T35" s="41">
        <v>0.86728417994136808</v>
      </c>
      <c r="U35" s="41">
        <v>0.74296049963054778</v>
      </c>
      <c r="V35" s="38">
        <v>2349.3908305811419</v>
      </c>
      <c r="W35" s="38">
        <v>2221.505310208589</v>
      </c>
      <c r="X35" s="38">
        <v>1980.9886611142431</v>
      </c>
      <c r="Y35" s="38">
        <v>990.77369103191734</v>
      </c>
      <c r="Z35" s="38">
        <v>929.34057242843107</v>
      </c>
      <c r="AA35" s="38">
        <v>817.84493460239094</v>
      </c>
      <c r="AB35" s="43"/>
      <c r="AC35" s="43"/>
      <c r="AD35" s="43"/>
      <c r="AE35" s="38">
        <v>1.0381753559792939</v>
      </c>
      <c r="AF35" s="38">
        <v>1.0127808541894028</v>
      </c>
      <c r="AG35" s="38">
        <v>0.97082273801525187</v>
      </c>
      <c r="AH35" s="38">
        <v>0.43781426912590249</v>
      </c>
      <c r="AI35" s="38">
        <v>0.421267561965876</v>
      </c>
      <c r="AJ35" s="38">
        <v>0.39355215341792849</v>
      </c>
      <c r="AK35" s="44"/>
      <c r="AL35" s="44"/>
      <c r="AM35" s="44"/>
      <c r="AN35" s="39">
        <v>0</v>
      </c>
      <c r="AO35" s="39">
        <v>30.254929739535051</v>
      </c>
      <c r="AP35" s="39">
        <v>46.796666220219329</v>
      </c>
      <c r="AQ35" s="39">
        <v>0</v>
      </c>
      <c r="AR35" s="39">
        <v>15.371589898331136</v>
      </c>
      <c r="AS35" s="39">
        <v>23.788183228406627</v>
      </c>
      <c r="AT35" s="43"/>
      <c r="AU35" s="43"/>
      <c r="AV35" s="43"/>
      <c r="AW35" s="39">
        <v>0</v>
      </c>
      <c r="AX35" s="39">
        <v>1.6808294299741695E-2</v>
      </c>
      <c r="AY35" s="39">
        <v>2.5998147900121851E-2</v>
      </c>
      <c r="AZ35" s="39">
        <v>0</v>
      </c>
      <c r="BA35" s="39">
        <v>8.5397721657395169E-3</v>
      </c>
      <c r="BB35" s="39">
        <v>1.3660030916221262E-2</v>
      </c>
      <c r="BC35" s="44"/>
      <c r="BD35" s="44"/>
      <c r="BE35" s="44"/>
      <c r="BG35" s="40">
        <v>7.3604554721522749E-3</v>
      </c>
      <c r="BH35" s="40">
        <v>7.4142103804179082E-3</v>
      </c>
    </row>
    <row r="36" spans="2:60">
      <c r="B36" s="34"/>
      <c r="C36" s="22">
        <v>32</v>
      </c>
      <c r="D36" s="33">
        <f t="shared" si="3"/>
        <v>1953.5616337050383</v>
      </c>
      <c r="E36" s="33">
        <f t="shared" si="9"/>
        <v>1869.7024531058139</v>
      </c>
      <c r="F36" s="33">
        <f t="shared" si="10"/>
        <v>1678.0373059143528</v>
      </c>
      <c r="G36" s="33">
        <f t="shared" si="4"/>
        <v>729.10470369858251</v>
      </c>
      <c r="H36" s="33">
        <f t="shared" si="4"/>
        <v>694.58465319047525</v>
      </c>
      <c r="I36" s="33">
        <f t="shared" si="4"/>
        <v>617.54412083137345</v>
      </c>
      <c r="J36" s="41">
        <v>2263.0000000000005</v>
      </c>
      <c r="K36" s="41">
        <v>1867.8747466278669</v>
      </c>
      <c r="L36" s="41">
        <v>1487.8553448017931</v>
      </c>
      <c r="M36" s="33">
        <f t="shared" si="5"/>
        <v>0.86326187967522672</v>
      </c>
      <c r="N36" s="33">
        <f t="shared" si="1"/>
        <v>0.85534040764585895</v>
      </c>
      <c r="O36" s="33">
        <f t="shared" si="2"/>
        <v>0.82653730611426857</v>
      </c>
      <c r="P36" s="33">
        <f t="shared" si="6"/>
        <v>0.32218502151947964</v>
      </c>
      <c r="Q36" s="33">
        <f t="shared" si="7"/>
        <v>0.3161542865295377</v>
      </c>
      <c r="R36" s="33">
        <f t="shared" si="8"/>
        <v>0.29928926502160635</v>
      </c>
      <c r="S36" s="41">
        <v>1</v>
      </c>
      <c r="T36" s="41">
        <v>0.86728417994136808</v>
      </c>
      <c r="U36" s="41">
        <v>0.74296049963054778</v>
      </c>
      <c r="V36" s="38">
        <v>1953.5616337050383</v>
      </c>
      <c r="W36" s="38">
        <v>1844.6238331647187</v>
      </c>
      <c r="X36" s="38">
        <v>1639.2579294445179</v>
      </c>
      <c r="Y36" s="38">
        <v>729.10470369858251</v>
      </c>
      <c r="Z36" s="38">
        <v>683.33168001852925</v>
      </c>
      <c r="AA36" s="38">
        <v>600.134542467237</v>
      </c>
      <c r="AB36" s="43"/>
      <c r="AC36" s="43"/>
      <c r="AD36" s="43"/>
      <c r="AE36" s="38">
        <v>0.86326187967522672</v>
      </c>
      <c r="AF36" s="38">
        <v>0.84140784101191712</v>
      </c>
      <c r="AG36" s="38">
        <v>0.80499320807547137</v>
      </c>
      <c r="AH36" s="38">
        <v>0.32218502151947964</v>
      </c>
      <c r="AI36" s="38">
        <v>0.30990263476734548</v>
      </c>
      <c r="AJ36" s="38">
        <v>0.28929205857632839</v>
      </c>
      <c r="AK36" s="44"/>
      <c r="AL36" s="44"/>
      <c r="AM36" s="44"/>
      <c r="AN36" s="39">
        <v>0</v>
      </c>
      <c r="AO36" s="39">
        <v>25.078619941095202</v>
      </c>
      <c r="AP36" s="39">
        <v>38.779376469834958</v>
      </c>
      <c r="AQ36" s="39">
        <v>0</v>
      </c>
      <c r="AR36" s="39">
        <v>11.252973171946005</v>
      </c>
      <c r="AS36" s="39">
        <v>17.409578364136415</v>
      </c>
      <c r="AT36" s="43"/>
      <c r="AU36" s="43"/>
      <c r="AV36" s="43"/>
      <c r="AW36" s="39">
        <v>0</v>
      </c>
      <c r="AX36" s="39">
        <v>1.3932566633941783E-2</v>
      </c>
      <c r="AY36" s="39">
        <v>2.1544098038797203E-2</v>
      </c>
      <c r="AZ36" s="39">
        <v>0</v>
      </c>
      <c r="BA36" s="39">
        <v>6.251651762192223E-3</v>
      </c>
      <c r="BB36" s="39">
        <v>9.9972064452779758E-3</v>
      </c>
      <c r="BC36" s="44"/>
      <c r="BD36" s="44"/>
      <c r="BE36" s="44"/>
      <c r="BG36" s="40">
        <v>7.349573463099647E-3</v>
      </c>
      <c r="BH36" s="40">
        <v>7.4032500392634442E-3</v>
      </c>
    </row>
    <row r="37" spans="2:60">
      <c r="B37" s="34"/>
      <c r="C37" s="22">
        <v>33</v>
      </c>
      <c r="D37" s="33">
        <f t="shared" si="3"/>
        <v>1896.8214822522805</v>
      </c>
      <c r="E37" s="33">
        <f t="shared" si="9"/>
        <v>1813.7804058804779</v>
      </c>
      <c r="F37" s="33">
        <f t="shared" si="10"/>
        <v>1623.3994403084344</v>
      </c>
      <c r="G37" s="33">
        <f t="shared" si="4"/>
        <v>1113.4050979822957</v>
      </c>
      <c r="H37" s="33">
        <f t="shared" si="4"/>
        <v>1061.4325806517297</v>
      </c>
      <c r="I37" s="33">
        <f t="shared" si="4"/>
        <v>944.48097615461393</v>
      </c>
      <c r="J37" s="41">
        <v>2263.0000000000005</v>
      </c>
      <c r="K37" s="41">
        <v>1867.8747466278669</v>
      </c>
      <c r="L37" s="41">
        <v>1487.8553448017931</v>
      </c>
      <c r="M37" s="33">
        <f t="shared" si="5"/>
        <v>0.83818890068593899</v>
      </c>
      <c r="N37" s="33">
        <f t="shared" si="1"/>
        <v>0.8309951544835481</v>
      </c>
      <c r="O37" s="33">
        <f t="shared" si="2"/>
        <v>0.80353566741006832</v>
      </c>
      <c r="P37" s="33">
        <f t="shared" si="6"/>
        <v>0.49200402031917606</v>
      </c>
      <c r="Q37" s="33">
        <f t="shared" si="7"/>
        <v>0.48318601207148909</v>
      </c>
      <c r="R37" s="33">
        <f t="shared" si="8"/>
        <v>0.45779271212622458</v>
      </c>
      <c r="S37" s="41">
        <v>1</v>
      </c>
      <c r="T37" s="41">
        <v>0.86728417994136808</v>
      </c>
      <c r="U37" s="41">
        <v>0.74296049963054778</v>
      </c>
      <c r="V37" s="38">
        <v>1896.8214822522805</v>
      </c>
      <c r="W37" s="38">
        <v>1788.7807590133882</v>
      </c>
      <c r="X37" s="38">
        <v>1584.6940537755322</v>
      </c>
      <c r="Y37" s="38">
        <v>1113.4050979822957</v>
      </c>
      <c r="Z37" s="38">
        <v>1043.6789457061607</v>
      </c>
      <c r="AA37" s="38">
        <v>916.97998641391109</v>
      </c>
      <c r="AB37" s="43"/>
      <c r="AC37" s="43"/>
      <c r="AD37" s="43"/>
      <c r="AE37" s="38">
        <v>0.83818890068593899</v>
      </c>
      <c r="AF37" s="38">
        <v>0.81710646177960933</v>
      </c>
      <c r="AG37" s="38">
        <v>0.78203267489178929</v>
      </c>
      <c r="AH37" s="38">
        <v>0.49200402031917606</v>
      </c>
      <c r="AI37" s="38">
        <v>0.47332288154617291</v>
      </c>
      <c r="AJ37" s="38">
        <v>0.44200065409145689</v>
      </c>
      <c r="AK37" s="44"/>
      <c r="AL37" s="44"/>
      <c r="AM37" s="44"/>
      <c r="AN37" s="39">
        <v>0</v>
      </c>
      <c r="AO37" s="39">
        <v>24.999646867089691</v>
      </c>
      <c r="AP37" s="39">
        <v>38.705386532902239</v>
      </c>
      <c r="AQ37" s="39">
        <v>0</v>
      </c>
      <c r="AR37" s="39">
        <v>17.753634945569157</v>
      </c>
      <c r="AS37" s="39">
        <v>27.500989740702892</v>
      </c>
      <c r="AT37" s="43"/>
      <c r="AU37" s="43"/>
      <c r="AV37" s="43"/>
      <c r="AW37" s="39">
        <v>0</v>
      </c>
      <c r="AX37" s="39">
        <v>1.3888692703938723E-2</v>
      </c>
      <c r="AY37" s="39">
        <v>2.1502992518279022E-2</v>
      </c>
      <c r="AZ37" s="39">
        <v>0</v>
      </c>
      <c r="BA37" s="39">
        <v>9.8631305253161945E-3</v>
      </c>
      <c r="BB37" s="39">
        <v>1.5792058034767707E-2</v>
      </c>
      <c r="BC37" s="44"/>
      <c r="BD37" s="44"/>
      <c r="BE37" s="44"/>
      <c r="BG37" s="40">
        <v>7.3937828197088553E-3</v>
      </c>
      <c r="BH37" s="40">
        <v>7.4477771725831032E-3</v>
      </c>
    </row>
    <row r="38" spans="2:60">
      <c r="B38" s="34"/>
      <c r="C38" s="22">
        <v>34</v>
      </c>
      <c r="D38" s="33">
        <f t="shared" si="3"/>
        <v>1641.4213952568564</v>
      </c>
      <c r="E38" s="33">
        <f t="shared" si="9"/>
        <v>1574.5155865714796</v>
      </c>
      <c r="F38" s="33">
        <f t="shared" si="10"/>
        <v>1421.0584531279467</v>
      </c>
      <c r="G38" s="33">
        <f t="shared" si="4"/>
        <v>793.08233549720649</v>
      </c>
      <c r="H38" s="33">
        <f t="shared" si="4"/>
        <v>756.19557858069334</v>
      </c>
      <c r="I38" s="33">
        <f t="shared" si="4"/>
        <v>674.00616828110287</v>
      </c>
      <c r="J38" s="41">
        <v>2263.0000000000005</v>
      </c>
      <c r="K38" s="41">
        <v>1867.8747466278669</v>
      </c>
      <c r="L38" s="41">
        <v>1487.8553448017931</v>
      </c>
      <c r="M38" s="33">
        <f t="shared" si="5"/>
        <v>0.72532982556644099</v>
      </c>
      <c r="N38" s="33">
        <f t="shared" si="1"/>
        <v>0.7197045214413802</v>
      </c>
      <c r="O38" s="33">
        <f t="shared" si="2"/>
        <v>0.6977650450608881</v>
      </c>
      <c r="P38" s="33">
        <f t="shared" si="6"/>
        <v>0.35045618006946816</v>
      </c>
      <c r="Q38" s="33">
        <f t="shared" si="7"/>
        <v>0.34411538098804223</v>
      </c>
      <c r="R38" s="33">
        <f t="shared" si="8"/>
        <v>0.3263573462559482</v>
      </c>
      <c r="S38" s="41">
        <v>1</v>
      </c>
      <c r="T38" s="41">
        <v>0.86728417994136808</v>
      </c>
      <c r="U38" s="41">
        <v>0.74296049963054778</v>
      </c>
      <c r="V38" s="38">
        <v>1641.4213952568564</v>
      </c>
      <c r="W38" s="38">
        <v>1553.6119842078922</v>
      </c>
      <c r="X38" s="38">
        <v>1388.7539422278639</v>
      </c>
      <c r="Y38" s="38">
        <v>793.08233549720649</v>
      </c>
      <c r="Z38" s="38">
        <v>744.14008246487811</v>
      </c>
      <c r="AA38" s="38">
        <v>655.36594821285519</v>
      </c>
      <c r="AB38" s="43"/>
      <c r="AC38" s="43"/>
      <c r="AD38" s="43"/>
      <c r="AE38" s="38">
        <v>0.72532982556644099</v>
      </c>
      <c r="AF38" s="38">
        <v>0.70809140901716494</v>
      </c>
      <c r="AG38" s="38">
        <v>0.67981809456084219</v>
      </c>
      <c r="AH38" s="38">
        <v>0.35045618006946816</v>
      </c>
      <c r="AI38" s="38">
        <v>0.33741788314592269</v>
      </c>
      <c r="AJ38" s="38">
        <v>0.31565346105493919</v>
      </c>
      <c r="AK38" s="44"/>
      <c r="AL38" s="44"/>
      <c r="AM38" s="44"/>
      <c r="AN38" s="39">
        <v>0</v>
      </c>
      <c r="AO38" s="39">
        <v>20.903602363587478</v>
      </c>
      <c r="AP38" s="39">
        <v>32.304510900082718</v>
      </c>
      <c r="AQ38" s="39">
        <v>0</v>
      </c>
      <c r="AR38" s="39">
        <v>12.055496115815179</v>
      </c>
      <c r="AS38" s="39">
        <v>18.640220068247732</v>
      </c>
      <c r="AT38" s="43"/>
      <c r="AU38" s="43"/>
      <c r="AV38" s="43"/>
      <c r="AW38" s="39">
        <v>0</v>
      </c>
      <c r="AX38" s="39">
        <v>1.1613112424215269E-2</v>
      </c>
      <c r="AY38" s="39">
        <v>1.7946950500045952E-2</v>
      </c>
      <c r="AZ38" s="39">
        <v>0</v>
      </c>
      <c r="BA38" s="39">
        <v>6.6974978421195427E-3</v>
      </c>
      <c r="BB38" s="39">
        <v>1.0703885201008992E-2</v>
      </c>
      <c r="BC38" s="44"/>
      <c r="BD38" s="44"/>
      <c r="BE38" s="44"/>
      <c r="BG38" s="40">
        <v>7.3261917759410641E-3</v>
      </c>
      <c r="BH38" s="40">
        <v>7.3796999765457592E-3</v>
      </c>
    </row>
    <row r="39" spans="2:60">
      <c r="B39" s="34"/>
      <c r="C39" s="22">
        <v>35</v>
      </c>
      <c r="D39" s="33">
        <f t="shared" si="3"/>
        <v>1896.4762458491518</v>
      </c>
      <c r="E39" s="33">
        <f t="shared" si="9"/>
        <v>1818.1739446200145</v>
      </c>
      <c r="F39" s="33">
        <f t="shared" si="10"/>
        <v>1638.5530994860956</v>
      </c>
      <c r="G39" s="33">
        <f t="shared" si="4"/>
        <v>695.41353835542691</v>
      </c>
      <c r="H39" s="33">
        <f t="shared" si="4"/>
        <v>663.8232572250871</v>
      </c>
      <c r="I39" s="33">
        <f t="shared" si="4"/>
        <v>593.05145263988322</v>
      </c>
      <c r="J39" s="41">
        <v>2263.0000000000005</v>
      </c>
      <c r="K39" s="41">
        <v>1867.8747466278669</v>
      </c>
      <c r="L39" s="41">
        <v>1487.8553448017931</v>
      </c>
      <c r="M39" s="33">
        <f t="shared" si="5"/>
        <v>0.83803634372476876</v>
      </c>
      <c r="N39" s="33">
        <f t="shared" si="1"/>
        <v>0.83119108275266684</v>
      </c>
      <c r="O39" s="33">
        <f t="shared" si="2"/>
        <v>0.80498815984238037</v>
      </c>
      <c r="P39" s="33">
        <f t="shared" si="6"/>
        <v>0.30729718884464285</v>
      </c>
      <c r="Q39" s="33">
        <f t="shared" si="7"/>
        <v>0.30186274282228365</v>
      </c>
      <c r="R39" s="33">
        <f t="shared" si="8"/>
        <v>0.28642066860950138</v>
      </c>
      <c r="S39" s="41">
        <v>1</v>
      </c>
      <c r="T39" s="41">
        <v>0.86728417994136808</v>
      </c>
      <c r="U39" s="41">
        <v>0.74296049963054778</v>
      </c>
      <c r="V39" s="38">
        <v>1896.4762458491518</v>
      </c>
      <c r="W39" s="38">
        <v>1793.8232005708694</v>
      </c>
      <c r="X39" s="38">
        <v>1600.8695100633438</v>
      </c>
      <c r="Y39" s="38">
        <v>695.41353835542691</v>
      </c>
      <c r="Z39" s="38">
        <v>653.07803426993496</v>
      </c>
      <c r="AA39" s="38">
        <v>576.41429759148389</v>
      </c>
      <c r="AB39" s="43"/>
      <c r="AC39" s="43"/>
      <c r="AD39" s="43"/>
      <c r="AE39" s="38">
        <v>0.83803634372476876</v>
      </c>
      <c r="AF39" s="38">
        <v>0.81766289161425298</v>
      </c>
      <c r="AG39" s="38">
        <v>0.78405283238529599</v>
      </c>
      <c r="AH39" s="38">
        <v>0.30729718884464285</v>
      </c>
      <c r="AI39" s="38">
        <v>0.29589317451386576</v>
      </c>
      <c r="AJ39" s="38">
        <v>0.27686701543065267</v>
      </c>
      <c r="AK39" s="44"/>
      <c r="AL39" s="44"/>
      <c r="AM39" s="44"/>
      <c r="AN39" s="39">
        <v>0</v>
      </c>
      <c r="AO39" s="39">
        <v>24.350744049145028</v>
      </c>
      <c r="AP39" s="39">
        <v>37.683589422751872</v>
      </c>
      <c r="AQ39" s="39">
        <v>0</v>
      </c>
      <c r="AR39" s="39">
        <v>10.745222955152142</v>
      </c>
      <c r="AS39" s="39">
        <v>16.637155048399379</v>
      </c>
      <c r="AT39" s="43"/>
      <c r="AU39" s="43"/>
      <c r="AV39" s="43"/>
      <c r="AW39" s="39">
        <v>0</v>
      </c>
      <c r="AX39" s="39">
        <v>1.3528191138413906E-2</v>
      </c>
      <c r="AY39" s="39">
        <v>2.0935327457084374E-2</v>
      </c>
      <c r="AZ39" s="39">
        <v>0</v>
      </c>
      <c r="BA39" s="39">
        <v>5.9695683084178552E-3</v>
      </c>
      <c r="BB39" s="39">
        <v>9.5536531788486968E-3</v>
      </c>
      <c r="BC39" s="44"/>
      <c r="BD39" s="44"/>
      <c r="BE39" s="44"/>
      <c r="BG39" s="40">
        <v>7.3759814855695535E-3</v>
      </c>
      <c r="BH39" s="40">
        <v>7.4298476998646114E-3</v>
      </c>
    </row>
    <row r="40" spans="2:60">
      <c r="B40" s="34"/>
      <c r="C40" s="22">
        <v>36</v>
      </c>
      <c r="D40" s="33">
        <f t="shared" si="3"/>
        <v>1077.9958359297359</v>
      </c>
      <c r="E40" s="33">
        <f t="shared" si="9"/>
        <v>1034.3992727583725</v>
      </c>
      <c r="F40" s="33">
        <f t="shared" si="10"/>
        <v>934.17700695901067</v>
      </c>
      <c r="G40" s="33">
        <f t="shared" si="4"/>
        <v>360.62806429115381</v>
      </c>
      <c r="H40" s="33">
        <f t="shared" si="4"/>
        <v>344.547141430198</v>
      </c>
      <c r="I40" s="33">
        <f t="shared" si="4"/>
        <v>308.42618478388164</v>
      </c>
      <c r="J40" s="41">
        <v>2263.0000000000005</v>
      </c>
      <c r="K40" s="41">
        <v>1867.8747466278669</v>
      </c>
      <c r="L40" s="41">
        <v>1487.8553448017931</v>
      </c>
      <c r="M40" s="33">
        <f t="shared" si="5"/>
        <v>0.47635697566492979</v>
      </c>
      <c r="N40" s="33">
        <f t="shared" si="1"/>
        <v>0.47279721095200283</v>
      </c>
      <c r="O40" s="33">
        <f t="shared" si="2"/>
        <v>0.45858345224010216</v>
      </c>
      <c r="P40" s="33">
        <f t="shared" si="6"/>
        <v>0.15935840224973657</v>
      </c>
      <c r="Q40" s="33">
        <f t="shared" si="7"/>
        <v>0.15675418464835866</v>
      </c>
      <c r="R40" s="33">
        <f t="shared" si="8"/>
        <v>0.14916346327590038</v>
      </c>
      <c r="S40" s="41">
        <v>1</v>
      </c>
      <c r="T40" s="41">
        <v>0.86728417994136808</v>
      </c>
      <c r="U40" s="41">
        <v>0.74296049963054778</v>
      </c>
      <c r="V40" s="38">
        <v>1077.9958359297359</v>
      </c>
      <c r="W40" s="38">
        <v>1020.5724079522938</v>
      </c>
      <c r="X40" s="38">
        <v>912.80920799792887</v>
      </c>
      <c r="Y40" s="38">
        <v>360.62806429115381</v>
      </c>
      <c r="Z40" s="38">
        <v>338.96119413205463</v>
      </c>
      <c r="AA40" s="38">
        <v>299.78930603258641</v>
      </c>
      <c r="AB40" s="43"/>
      <c r="AC40" s="43"/>
      <c r="AD40" s="43"/>
      <c r="AE40" s="38">
        <v>0.47635697566492979</v>
      </c>
      <c r="AF40" s="38">
        <v>0.46511561939307022</v>
      </c>
      <c r="AG40" s="38">
        <v>0.44671245281727889</v>
      </c>
      <c r="AH40" s="38">
        <v>0.15935840224973657</v>
      </c>
      <c r="AI40" s="38">
        <v>0.15365088059383458</v>
      </c>
      <c r="AJ40" s="38">
        <v>0.14420385666662131</v>
      </c>
      <c r="AK40" s="44"/>
      <c r="AL40" s="44"/>
      <c r="AM40" s="44"/>
      <c r="AN40" s="39">
        <v>0</v>
      </c>
      <c r="AO40" s="39">
        <v>13.826864806078735</v>
      </c>
      <c r="AP40" s="39">
        <v>21.367798961081846</v>
      </c>
      <c r="AQ40" s="39">
        <v>0</v>
      </c>
      <c r="AR40" s="39">
        <v>5.5859472981433713</v>
      </c>
      <c r="AS40" s="39">
        <v>8.6368787512952245</v>
      </c>
      <c r="AT40" s="43"/>
      <c r="AU40" s="43"/>
      <c r="AV40" s="43"/>
      <c r="AW40" s="39">
        <v>0</v>
      </c>
      <c r="AX40" s="39">
        <v>7.6815915589326317E-3</v>
      </c>
      <c r="AY40" s="39">
        <v>1.1870999422823249E-2</v>
      </c>
      <c r="AZ40" s="39">
        <v>0</v>
      </c>
      <c r="BA40" s="39">
        <v>3.1033040545240943E-3</v>
      </c>
      <c r="BB40" s="39">
        <v>4.9596066092790804E-3</v>
      </c>
      <c r="BC40" s="44"/>
      <c r="BD40" s="44"/>
      <c r="BE40" s="44"/>
      <c r="BG40" s="40">
        <v>7.3312600191260974E-3</v>
      </c>
      <c r="BH40" s="40">
        <v>7.384805292477409E-3</v>
      </c>
    </row>
    <row r="41" spans="2:60">
      <c r="B41" s="34"/>
      <c r="C41" s="22">
        <v>37</v>
      </c>
      <c r="D41" s="33">
        <f t="shared" si="3"/>
        <v>1606.3294800553256</v>
      </c>
      <c r="E41" s="33">
        <f t="shared" si="9"/>
        <v>1543.9724114210501</v>
      </c>
      <c r="F41" s="33">
        <f t="shared" si="10"/>
        <v>1400.4489598669966</v>
      </c>
      <c r="G41" s="33">
        <f t="shared" si="4"/>
        <v>716.36594291892573</v>
      </c>
      <c r="H41" s="33">
        <f t="shared" si="4"/>
        <v>684.78895719441664</v>
      </c>
      <c r="I41" s="33">
        <f t="shared" si="4"/>
        <v>614.01831655428282</v>
      </c>
      <c r="J41" s="41">
        <v>2263.0000000000005</v>
      </c>
      <c r="K41" s="41">
        <v>1867.8747466278669</v>
      </c>
      <c r="L41" s="41">
        <v>1487.8553448017931</v>
      </c>
      <c r="M41" s="33">
        <f t="shared" si="5"/>
        <v>0.7098230137230781</v>
      </c>
      <c r="N41" s="33">
        <f t="shared" si="1"/>
        <v>0.70471995558235878</v>
      </c>
      <c r="O41" s="33">
        <f t="shared" si="2"/>
        <v>0.68419535674711796</v>
      </c>
      <c r="P41" s="33">
        <f t="shared" si="6"/>
        <v>0.316555874025155</v>
      </c>
      <c r="Q41" s="33">
        <f t="shared" si="7"/>
        <v>0.31122867963550493</v>
      </c>
      <c r="R41" s="33">
        <f t="shared" si="8"/>
        <v>0.29596268451772723</v>
      </c>
      <c r="S41" s="41">
        <v>1</v>
      </c>
      <c r="T41" s="41">
        <v>0.86728417994136808</v>
      </c>
      <c r="U41" s="41">
        <v>0.74296049963054778</v>
      </c>
      <c r="V41" s="38">
        <v>1606.3294800553256</v>
      </c>
      <c r="W41" s="38">
        <v>1523.6675949714088</v>
      </c>
      <c r="X41" s="38">
        <v>1369.0941178635053</v>
      </c>
      <c r="Y41" s="38">
        <v>716.36594291892573</v>
      </c>
      <c r="Z41" s="38">
        <v>673.85958256874801</v>
      </c>
      <c r="AA41" s="38">
        <v>597.13238797248937</v>
      </c>
      <c r="AB41" s="43"/>
      <c r="AC41" s="43"/>
      <c r="AD41" s="43"/>
      <c r="AE41" s="38">
        <v>0.7098230137230781</v>
      </c>
      <c r="AF41" s="38">
        <v>0.69343950199922477</v>
      </c>
      <c r="AG41" s="38">
        <v>0.66677600007851168</v>
      </c>
      <c r="AH41" s="38">
        <v>0.316555874025155</v>
      </c>
      <c r="AI41" s="38">
        <v>0.3051568048434668</v>
      </c>
      <c r="AJ41" s="38">
        <v>0.2862661766229605</v>
      </c>
      <c r="AK41" s="44"/>
      <c r="AL41" s="44"/>
      <c r="AM41" s="44"/>
      <c r="AN41" s="39">
        <v>0</v>
      </c>
      <c r="AO41" s="39">
        <v>20.304816449641187</v>
      </c>
      <c r="AP41" s="39">
        <v>31.354842003491321</v>
      </c>
      <c r="AQ41" s="39">
        <v>0</v>
      </c>
      <c r="AR41" s="39">
        <v>10.929374625668647</v>
      </c>
      <c r="AS41" s="39">
        <v>16.88592858179344</v>
      </c>
      <c r="AT41" s="43"/>
      <c r="AU41" s="43"/>
      <c r="AV41" s="43"/>
      <c r="AW41" s="39">
        <v>0</v>
      </c>
      <c r="AX41" s="39">
        <v>1.1280453583133997E-2</v>
      </c>
      <c r="AY41" s="39">
        <v>1.7419356668606292E-2</v>
      </c>
      <c r="AZ41" s="39">
        <v>0</v>
      </c>
      <c r="BA41" s="39">
        <v>6.0718747920381353E-3</v>
      </c>
      <c r="BB41" s="39">
        <v>9.6965078947667434E-3</v>
      </c>
      <c r="BC41" s="44"/>
      <c r="BD41" s="44"/>
      <c r="BE41" s="44"/>
      <c r="BG41" s="40">
        <v>7.2922454371680736E-3</v>
      </c>
      <c r="BH41" s="40">
        <v>7.345508843675917E-3</v>
      </c>
    </row>
    <row r="42" spans="2:60">
      <c r="B42" s="34"/>
      <c r="C42" s="22">
        <v>38</v>
      </c>
      <c r="D42" s="33">
        <f t="shared" si="3"/>
        <v>2128.9002745489688</v>
      </c>
      <c r="E42" s="33">
        <f t="shared" si="9"/>
        <v>2039.7216565435572</v>
      </c>
      <c r="F42" s="33">
        <f t="shared" si="10"/>
        <v>1835.5373451054606</v>
      </c>
      <c r="G42" s="33">
        <f t="shared" si="4"/>
        <v>1562.0653313796697</v>
      </c>
      <c r="H42" s="33">
        <f t="shared" si="4"/>
        <v>1488.4133654539687</v>
      </c>
      <c r="I42" s="33">
        <f t="shared" si="4"/>
        <v>1324.4477500744979</v>
      </c>
      <c r="J42" s="41">
        <v>2263.0000000000005</v>
      </c>
      <c r="K42" s="41">
        <v>1867.8747466278669</v>
      </c>
      <c r="L42" s="41">
        <v>1487.8553448017931</v>
      </c>
      <c r="M42" s="33">
        <f t="shared" si="5"/>
        <v>0.94074249869596493</v>
      </c>
      <c r="N42" s="33">
        <f t="shared" si="1"/>
        <v>0.93272994792332031</v>
      </c>
      <c r="O42" s="33">
        <f t="shared" si="2"/>
        <v>0.9026901949965106</v>
      </c>
      <c r="P42" s="33">
        <f t="shared" si="6"/>
        <v>0.69026307175416235</v>
      </c>
      <c r="Q42" s="33">
        <f t="shared" si="7"/>
        <v>0.67711468264991947</v>
      </c>
      <c r="R42" s="33">
        <f t="shared" si="8"/>
        <v>0.64076875140300416</v>
      </c>
      <c r="S42" s="41">
        <v>1</v>
      </c>
      <c r="T42" s="41">
        <v>0.86728417994136808</v>
      </c>
      <c r="U42" s="41">
        <v>0.74296049963054778</v>
      </c>
      <c r="V42" s="38">
        <v>2128.9002745489688</v>
      </c>
      <c r="W42" s="38">
        <v>2012.4983711612017</v>
      </c>
      <c r="X42" s="38">
        <v>1793.4824636445796</v>
      </c>
      <c r="Y42" s="38">
        <v>1562.0653313796697</v>
      </c>
      <c r="Z42" s="38">
        <v>1464.6431834308078</v>
      </c>
      <c r="AA42" s="38">
        <v>1287.7083226489765</v>
      </c>
      <c r="AB42" s="43"/>
      <c r="AC42" s="43"/>
      <c r="AD42" s="43"/>
      <c r="AE42" s="38">
        <v>0.94074249869596493</v>
      </c>
      <c r="AF42" s="38">
        <v>0.91760590048867841</v>
      </c>
      <c r="AG42" s="38">
        <v>0.87932637196268781</v>
      </c>
      <c r="AH42" s="38">
        <v>0.69026307175416235</v>
      </c>
      <c r="AI42" s="38">
        <v>0.6639090259703857</v>
      </c>
      <c r="AJ42" s="38">
        <v>0.61967164996998714</v>
      </c>
      <c r="AK42" s="44"/>
      <c r="AL42" s="44"/>
      <c r="AM42" s="44"/>
      <c r="AN42" s="39">
        <v>0</v>
      </c>
      <c r="AO42" s="39">
        <v>27.223285382355485</v>
      </c>
      <c r="AP42" s="39">
        <v>42.054881460881099</v>
      </c>
      <c r="AQ42" s="39">
        <v>0</v>
      </c>
      <c r="AR42" s="39">
        <v>23.770182023160832</v>
      </c>
      <c r="AS42" s="39">
        <v>36.739427425521342</v>
      </c>
      <c r="AT42" s="43"/>
      <c r="AU42" s="43"/>
      <c r="AV42" s="43"/>
      <c r="AW42" s="39">
        <v>0</v>
      </c>
      <c r="AX42" s="39">
        <v>1.512404743464194E-2</v>
      </c>
      <c r="AY42" s="39">
        <v>2.3363823033822836E-2</v>
      </c>
      <c r="AZ42" s="39">
        <v>0</v>
      </c>
      <c r="BA42" s="39">
        <v>1.3205656679533793E-2</v>
      </c>
      <c r="BB42" s="39">
        <v>2.1097101433017018E-2</v>
      </c>
      <c r="BC42" s="44"/>
      <c r="BD42" s="44"/>
      <c r="BE42" s="44"/>
      <c r="BG42" s="40">
        <v>7.3072463147231675E-3</v>
      </c>
      <c r="BH42" s="40">
        <v>7.3606176965884344E-3</v>
      </c>
    </row>
    <row r="43" spans="2:60">
      <c r="B43" s="34"/>
      <c r="C43" s="22">
        <v>39</v>
      </c>
      <c r="D43" s="33">
        <f t="shared" si="3"/>
        <v>1258.8891143118199</v>
      </c>
      <c r="E43" s="33">
        <f t="shared" si="9"/>
        <v>1212.4471352629625</v>
      </c>
      <c r="F43" s="33">
        <f t="shared" si="10"/>
        <v>1104.2688040706141</v>
      </c>
      <c r="G43" s="33">
        <f t="shared" si="4"/>
        <v>1048.7632165008633</v>
      </c>
      <c r="H43" s="33">
        <f t="shared" si="4"/>
        <v>997.27465257558686</v>
      </c>
      <c r="I43" s="33">
        <f t="shared" si="4"/>
        <v>883.053304053479</v>
      </c>
      <c r="J43" s="41">
        <v>2263.0000000000005</v>
      </c>
      <c r="K43" s="41">
        <v>1867.8747466278669</v>
      </c>
      <c r="L43" s="41">
        <v>1487.8553448017931</v>
      </c>
      <c r="M43" s="33">
        <f t="shared" si="5"/>
        <v>0.55629214065922217</v>
      </c>
      <c r="N43" s="33">
        <f t="shared" si="1"/>
        <v>0.55251312764354255</v>
      </c>
      <c r="O43" s="33">
        <f t="shared" si="2"/>
        <v>0.53648513884933879</v>
      </c>
      <c r="P43" s="33">
        <f t="shared" si="6"/>
        <v>0.46343933561681994</v>
      </c>
      <c r="Q43" s="33">
        <f t="shared" si="7"/>
        <v>0.45404892706060718</v>
      </c>
      <c r="R43" s="33">
        <f t="shared" si="8"/>
        <v>0.42850501075713238</v>
      </c>
      <c r="S43" s="41">
        <v>1</v>
      </c>
      <c r="T43" s="41">
        <v>0.86728417994136808</v>
      </c>
      <c r="U43" s="41">
        <v>0.74296049963054778</v>
      </c>
      <c r="V43" s="38">
        <v>1258.8891143118199</v>
      </c>
      <c r="W43" s="38">
        <v>1196.1089169349275</v>
      </c>
      <c r="X43" s="38">
        <v>1079.1086869116855</v>
      </c>
      <c r="Y43" s="38">
        <v>1048.7632165008633</v>
      </c>
      <c r="Z43" s="38">
        <v>981.3744277884573</v>
      </c>
      <c r="AA43" s="38">
        <v>858.55500490987947</v>
      </c>
      <c r="AB43" s="43"/>
      <c r="AC43" s="43"/>
      <c r="AD43" s="43"/>
      <c r="AE43" s="38">
        <v>0.55629214065922217</v>
      </c>
      <c r="AF43" s="38">
        <v>0.54343633968352312</v>
      </c>
      <c r="AG43" s="38">
        <v>0.52250729598326739</v>
      </c>
      <c r="AH43" s="38">
        <v>0.46343933561681994</v>
      </c>
      <c r="AI43" s="38">
        <v>0.4452154688455352</v>
      </c>
      <c r="AJ43" s="38">
        <v>0.41443720572623838</v>
      </c>
      <c r="AK43" s="44"/>
      <c r="AL43" s="44"/>
      <c r="AM43" s="44"/>
      <c r="AN43" s="39">
        <v>0</v>
      </c>
      <c r="AO43" s="39">
        <v>16.338218328034959</v>
      </c>
      <c r="AP43" s="39">
        <v>25.160117158928543</v>
      </c>
      <c r="AQ43" s="39">
        <v>0</v>
      </c>
      <c r="AR43" s="39">
        <v>15.900224787129586</v>
      </c>
      <c r="AS43" s="39">
        <v>24.498299143599528</v>
      </c>
      <c r="AT43" s="43"/>
      <c r="AU43" s="43"/>
      <c r="AV43" s="43"/>
      <c r="AW43" s="39">
        <v>0</v>
      </c>
      <c r="AX43" s="39">
        <v>9.0767879600194244E-3</v>
      </c>
      <c r="AY43" s="39">
        <v>1.397784286607141E-2</v>
      </c>
      <c r="AZ43" s="39">
        <v>0</v>
      </c>
      <c r="BA43" s="39">
        <v>8.8334582150719886E-3</v>
      </c>
      <c r="BB43" s="39">
        <v>1.4067805030893976E-2</v>
      </c>
      <c r="BC43" s="44"/>
      <c r="BD43" s="44"/>
      <c r="BE43" s="44"/>
      <c r="BG43" s="40">
        <v>7.237417984302193E-3</v>
      </c>
      <c r="BH43" s="40">
        <v>7.2902920409864333E-3</v>
      </c>
    </row>
    <row r="44" spans="2:60">
      <c r="B44" s="34"/>
      <c r="C44" s="22">
        <v>40</v>
      </c>
      <c r="D44" s="33">
        <f t="shared" si="3"/>
        <v>892.7957828403438</v>
      </c>
      <c r="E44" s="33">
        <f t="shared" si="9"/>
        <v>852.49988340009338</v>
      </c>
      <c r="F44" s="33">
        <f t="shared" si="10"/>
        <v>760.85929178651884</v>
      </c>
      <c r="G44" s="33">
        <f t="shared" si="4"/>
        <v>1816.1684425059314</v>
      </c>
      <c r="H44" s="33">
        <f t="shared" si="4"/>
        <v>1727.3237716344015</v>
      </c>
      <c r="I44" s="33">
        <f t="shared" si="4"/>
        <v>1529.8046926512782</v>
      </c>
      <c r="J44" s="41">
        <v>2263.0000000000005</v>
      </c>
      <c r="K44" s="41">
        <v>1867.8747466278669</v>
      </c>
      <c r="L44" s="41">
        <v>1487.8553448017931</v>
      </c>
      <c r="M44" s="33">
        <f t="shared" si="5"/>
        <v>0.39451868441906485</v>
      </c>
      <c r="N44" s="33">
        <f t="shared" si="1"/>
        <v>0.39103131378249906</v>
      </c>
      <c r="O44" s="33">
        <f t="shared" si="2"/>
        <v>0.3781578831557047</v>
      </c>
      <c r="P44" s="33">
        <f t="shared" si="6"/>
        <v>0.80254902452758781</v>
      </c>
      <c r="Q44" s="33">
        <f t="shared" si="7"/>
        <v>0.78702988733315682</v>
      </c>
      <c r="R44" s="33">
        <f t="shared" si="8"/>
        <v>0.7441153018512755</v>
      </c>
      <c r="S44" s="41">
        <v>1</v>
      </c>
      <c r="T44" s="41">
        <v>0.86728417994136808</v>
      </c>
      <c r="U44" s="41">
        <v>0.74296049963054778</v>
      </c>
      <c r="V44" s="38">
        <v>892.7957828403438</v>
      </c>
      <c r="W44" s="38">
        <v>841.0453511151087</v>
      </c>
      <c r="X44" s="38">
        <v>743.12950946998319</v>
      </c>
      <c r="Y44" s="38">
        <v>1816.1684425059314</v>
      </c>
      <c r="Z44" s="38">
        <v>1699.3946019405673</v>
      </c>
      <c r="AA44" s="38">
        <v>1486.5525498117231</v>
      </c>
      <c r="AB44" s="43"/>
      <c r="AC44" s="43"/>
      <c r="AD44" s="43"/>
      <c r="AE44" s="38">
        <v>0.39451868441906485</v>
      </c>
      <c r="AF44" s="38">
        <v>0.38466768473528534</v>
      </c>
      <c r="AG44" s="38">
        <v>0.36830800409096265</v>
      </c>
      <c r="AH44" s="38">
        <v>0.80254902452758781</v>
      </c>
      <c r="AI44" s="38">
        <v>0.77151368194769343</v>
      </c>
      <c r="AJ44" s="38">
        <v>0.71927836484317287</v>
      </c>
      <c r="AK44" s="44"/>
      <c r="AL44" s="44"/>
      <c r="AM44" s="44"/>
      <c r="AN44" s="39">
        <v>0</v>
      </c>
      <c r="AO44" s="39">
        <v>11.454532284984658</v>
      </c>
      <c r="AP44" s="39">
        <v>17.729782316535644</v>
      </c>
      <c r="AQ44" s="39">
        <v>0</v>
      </c>
      <c r="AR44" s="39">
        <v>27.92916969383408</v>
      </c>
      <c r="AS44" s="39">
        <v>43.252142839554978</v>
      </c>
      <c r="AT44" s="43"/>
      <c r="AU44" s="43"/>
      <c r="AV44" s="43"/>
      <c r="AW44" s="39">
        <v>0</v>
      </c>
      <c r="AX44" s="39">
        <v>6.3636290472137E-3</v>
      </c>
      <c r="AY44" s="39">
        <v>9.8498790647420249E-3</v>
      </c>
      <c r="AZ44" s="39">
        <v>0</v>
      </c>
      <c r="BA44" s="39">
        <v>1.5516205385463371E-2</v>
      </c>
      <c r="BB44" s="39">
        <v>2.483693700810264E-2</v>
      </c>
      <c r="BC44" s="44"/>
      <c r="BD44" s="44"/>
      <c r="BE44" s="44"/>
      <c r="BG44" s="40">
        <v>7.3798132282292287E-3</v>
      </c>
      <c r="BH44" s="40">
        <v>7.4337066154116045E-3</v>
      </c>
    </row>
    <row r="45" spans="2:60">
      <c r="B45" s="34"/>
      <c r="C45" s="22">
        <v>41</v>
      </c>
      <c r="D45" s="33">
        <f t="shared" si="3"/>
        <v>1737.4928559642835</v>
      </c>
      <c r="E45" s="33">
        <f t="shared" si="9"/>
        <v>1662.8758329308096</v>
      </c>
      <c r="F45" s="33">
        <f t="shared" si="10"/>
        <v>1492.0820978211434</v>
      </c>
      <c r="G45" s="33">
        <f t="shared" si="4"/>
        <v>1012.0044199844473</v>
      </c>
      <c r="H45" s="33">
        <f t="shared" si="4"/>
        <v>964.6601358607063</v>
      </c>
      <c r="I45" s="33">
        <f t="shared" si="4"/>
        <v>858.69755104010642</v>
      </c>
      <c r="J45" s="41">
        <v>2263.0000000000005</v>
      </c>
      <c r="K45" s="41">
        <v>1867.8747466278669</v>
      </c>
      <c r="L45" s="41">
        <v>1487.8553448017931</v>
      </c>
      <c r="M45" s="33">
        <f t="shared" si="5"/>
        <v>0.76778296772615251</v>
      </c>
      <c r="N45" s="33">
        <f t="shared" si="1"/>
        <v>0.76147714887343176</v>
      </c>
      <c r="O45" s="33">
        <f t="shared" si="2"/>
        <v>0.73724439654465568</v>
      </c>
      <c r="P45" s="33">
        <f t="shared" si="6"/>
        <v>0.44719594343104163</v>
      </c>
      <c r="Q45" s="33">
        <f t="shared" si="7"/>
        <v>0.43928400196767858</v>
      </c>
      <c r="R45" s="33">
        <f t="shared" si="8"/>
        <v>0.41670790458748425</v>
      </c>
      <c r="S45" s="41">
        <v>1</v>
      </c>
      <c r="T45" s="41">
        <v>0.86728417994136808</v>
      </c>
      <c r="U45" s="41">
        <v>0.74296049963054778</v>
      </c>
      <c r="V45" s="38">
        <v>1737.4928559642835</v>
      </c>
      <c r="W45" s="38">
        <v>1640.380675188326</v>
      </c>
      <c r="X45" s="38">
        <v>1457.2675705191896</v>
      </c>
      <c r="Y45" s="38">
        <v>1012.0044199844473</v>
      </c>
      <c r="Z45" s="38">
        <v>948.90029265740498</v>
      </c>
      <c r="AA45" s="38">
        <v>834.29434192922338</v>
      </c>
      <c r="AB45" s="43"/>
      <c r="AC45" s="43"/>
      <c r="AD45" s="43"/>
      <c r="AE45" s="38">
        <v>0.76778296772615251</v>
      </c>
      <c r="AF45" s="38">
        <v>0.74897983901649645</v>
      </c>
      <c r="AG45" s="38">
        <v>0.7179029924880147</v>
      </c>
      <c r="AH45" s="38">
        <v>0.44719594343104163</v>
      </c>
      <c r="AI45" s="38">
        <v>0.43052853352140008</v>
      </c>
      <c r="AJ45" s="38">
        <v>0.40269470367554544</v>
      </c>
      <c r="AK45" s="44"/>
      <c r="AL45" s="44"/>
      <c r="AM45" s="44"/>
      <c r="AN45" s="39">
        <v>0</v>
      </c>
      <c r="AO45" s="39">
        <v>22.495157742483631</v>
      </c>
      <c r="AP45" s="39">
        <v>34.814527301953781</v>
      </c>
      <c r="AQ45" s="39">
        <v>0</v>
      </c>
      <c r="AR45" s="39">
        <v>15.759843203301305</v>
      </c>
      <c r="AS45" s="39">
        <v>24.403209110883065</v>
      </c>
      <c r="AT45" s="43"/>
      <c r="AU45" s="43"/>
      <c r="AV45" s="43"/>
      <c r="AW45" s="39">
        <v>0</v>
      </c>
      <c r="AX45" s="39">
        <v>1.2497309856935354E-2</v>
      </c>
      <c r="AY45" s="39">
        <v>1.9341404056640994E-2</v>
      </c>
      <c r="AZ45" s="39">
        <v>0</v>
      </c>
      <c r="BA45" s="39">
        <v>8.7554684462784992E-3</v>
      </c>
      <c r="BB45" s="39">
        <v>1.4013200911938804E-2</v>
      </c>
      <c r="BC45" s="44"/>
      <c r="BD45" s="44"/>
      <c r="BE45" s="44"/>
      <c r="BG45" s="40">
        <v>7.3780709558084424E-3</v>
      </c>
      <c r="BH45" s="40">
        <v>7.4319521333770623E-3</v>
      </c>
    </row>
    <row r="46" spans="2:60">
      <c r="B46" s="34"/>
      <c r="C46" s="22">
        <v>42</v>
      </c>
      <c r="D46" s="33">
        <f t="shared" si="3"/>
        <v>961.84964878435676</v>
      </c>
      <c r="E46" s="33">
        <f t="shared" si="9"/>
        <v>920.37696907911561</v>
      </c>
      <c r="F46" s="33">
        <f t="shared" si="10"/>
        <v>825.9248307021569</v>
      </c>
      <c r="G46" s="33">
        <f t="shared" si="4"/>
        <v>1521.6895374769119</v>
      </c>
      <c r="H46" s="33">
        <f t="shared" si="4"/>
        <v>1447.9270095234031</v>
      </c>
      <c r="I46" s="33">
        <f t="shared" si="4"/>
        <v>1284.3286784580832</v>
      </c>
      <c r="J46" s="41">
        <v>2263.0000000000005</v>
      </c>
      <c r="K46" s="41">
        <v>1867.8747466278669</v>
      </c>
      <c r="L46" s="41">
        <v>1487.8553448017931</v>
      </c>
      <c r="M46" s="33">
        <f t="shared" si="5"/>
        <v>0.42503298664797018</v>
      </c>
      <c r="N46" s="33">
        <f t="shared" si="1"/>
        <v>0.42104212486479536</v>
      </c>
      <c r="O46" s="33">
        <f t="shared" si="2"/>
        <v>0.40683772845061184</v>
      </c>
      <c r="P46" s="33">
        <f t="shared" si="6"/>
        <v>0.67242135991025709</v>
      </c>
      <c r="Q46" s="33">
        <f t="shared" si="7"/>
        <v>0.65902167067615258</v>
      </c>
      <c r="R46" s="33">
        <f t="shared" si="8"/>
        <v>0.6225344120449634</v>
      </c>
      <c r="S46" s="41">
        <v>1</v>
      </c>
      <c r="T46" s="41">
        <v>0.86728417994136808</v>
      </c>
      <c r="U46" s="41">
        <v>0.74296049963054778</v>
      </c>
      <c r="V46" s="38">
        <v>961.84964878435676</v>
      </c>
      <c r="W46" s="38">
        <v>908.22938206787853</v>
      </c>
      <c r="X46" s="38">
        <v>807.14894032504708</v>
      </c>
      <c r="Y46" s="38">
        <v>1521.6895374769119</v>
      </c>
      <c r="Z46" s="38">
        <v>1424.9089315591423</v>
      </c>
      <c r="AA46" s="38">
        <v>1248.7324932965294</v>
      </c>
      <c r="AB46" s="43"/>
      <c r="AC46" s="43"/>
      <c r="AD46" s="43"/>
      <c r="AE46" s="38">
        <v>0.42503298664797018</v>
      </c>
      <c r="AF46" s="38">
        <v>0.41429346541410811</v>
      </c>
      <c r="AG46" s="38">
        <v>0.39640667824110637</v>
      </c>
      <c r="AH46" s="38">
        <v>0.67242135991025709</v>
      </c>
      <c r="AI46" s="38">
        <v>0.6462338495848966</v>
      </c>
      <c r="AJ46" s="38">
        <v>0.60209380146375202</v>
      </c>
      <c r="AK46" s="44"/>
      <c r="AL46" s="44"/>
      <c r="AM46" s="44"/>
      <c r="AN46" s="39">
        <v>0</v>
      </c>
      <c r="AO46" s="39">
        <v>12.1475870112371</v>
      </c>
      <c r="AP46" s="39">
        <v>18.775890377109786</v>
      </c>
      <c r="AQ46" s="39">
        <v>0</v>
      </c>
      <c r="AR46" s="39">
        <v>23.018077964260719</v>
      </c>
      <c r="AS46" s="39">
        <v>35.59618516155399</v>
      </c>
      <c r="AT46" s="43"/>
      <c r="AU46" s="43"/>
      <c r="AV46" s="43"/>
      <c r="AW46" s="39">
        <v>0</v>
      </c>
      <c r="AX46" s="39">
        <v>6.7486594506872798E-3</v>
      </c>
      <c r="AY46" s="39">
        <v>1.043105020950544E-2</v>
      </c>
      <c r="AZ46" s="39">
        <v>0</v>
      </c>
      <c r="BA46" s="39">
        <v>1.278782109125595E-2</v>
      </c>
      <c r="BB46" s="39">
        <v>2.0440610581211403E-2</v>
      </c>
      <c r="BC46" s="44"/>
      <c r="BD46" s="44"/>
      <c r="BE46" s="44"/>
      <c r="BG46" s="40">
        <v>7.3347720011218195E-3</v>
      </c>
      <c r="BH46" s="40">
        <v>7.3883422267166845E-3</v>
      </c>
    </row>
    <row r="47" spans="2:60">
      <c r="B47" s="34"/>
      <c r="C47" s="22">
        <v>44</v>
      </c>
      <c r="D47" s="33">
        <f t="shared" si="3"/>
        <v>1110.6058556738453</v>
      </c>
      <c r="E47" s="33">
        <f t="shared" si="9"/>
        <v>1061.1838380379963</v>
      </c>
      <c r="F47" s="33">
        <f t="shared" si="10"/>
        <v>948.92666310212815</v>
      </c>
      <c r="G47" s="33">
        <f t="shared" si="4"/>
        <v>2316.4037499708866</v>
      </c>
      <c r="H47" s="33">
        <f t="shared" si="4"/>
        <v>2198.2737709398443</v>
      </c>
      <c r="I47" s="33">
        <f t="shared" si="4"/>
        <v>1937.2648143910167</v>
      </c>
      <c r="J47" s="41">
        <v>2263.0000000000005</v>
      </c>
      <c r="K47" s="41">
        <v>1867.8747466278669</v>
      </c>
      <c r="L47" s="41">
        <v>1487.8553448017931</v>
      </c>
      <c r="M47" s="33">
        <f t="shared" si="5"/>
        <v>0.49076705951119987</v>
      </c>
      <c r="N47" s="33">
        <f t="shared" si="1"/>
        <v>0.4855234934245416</v>
      </c>
      <c r="O47" s="33">
        <f t="shared" si="2"/>
        <v>0.4677954938198654</v>
      </c>
      <c r="P47" s="33">
        <f t="shared" si="6"/>
        <v>1.023598652218686</v>
      </c>
      <c r="Q47" s="33">
        <f t="shared" si="7"/>
        <v>1.0015023600261084</v>
      </c>
      <c r="R47" s="33">
        <f t="shared" si="8"/>
        <v>0.94245929686602448</v>
      </c>
      <c r="S47" s="41">
        <v>1</v>
      </c>
      <c r="T47" s="41">
        <v>0.86728417994136808</v>
      </c>
      <c r="U47" s="41">
        <v>0.74296049963054778</v>
      </c>
      <c r="V47" s="38">
        <v>1110.6058556738453</v>
      </c>
      <c r="W47" s="38">
        <v>1047.1423855783928</v>
      </c>
      <c r="X47" s="38">
        <v>927.22409931221227</v>
      </c>
      <c r="Y47" s="38">
        <v>2316.4037499708866</v>
      </c>
      <c r="Z47" s="38">
        <v>2163.1772441660987</v>
      </c>
      <c r="AA47" s="38">
        <v>1882.9914141161414</v>
      </c>
      <c r="AB47" s="43"/>
      <c r="AC47" s="43"/>
      <c r="AD47" s="43"/>
      <c r="AE47" s="38">
        <v>0.49076705951119987</v>
      </c>
      <c r="AF47" s="38">
        <v>0.47772268650253957</v>
      </c>
      <c r="AG47" s="38">
        <v>0.45573851393657877</v>
      </c>
      <c r="AH47" s="38">
        <v>1.023598652218686</v>
      </c>
      <c r="AI47" s="38">
        <v>0.98200428959624986</v>
      </c>
      <c r="AJ47" s="38">
        <v>0.91129355719751826</v>
      </c>
      <c r="AK47" s="44"/>
      <c r="AL47" s="44"/>
      <c r="AM47" s="44"/>
      <c r="AN47" s="39">
        <v>0</v>
      </c>
      <c r="AO47" s="39">
        <v>14.041452459603596</v>
      </c>
      <c r="AP47" s="39">
        <v>21.702563789915899</v>
      </c>
      <c r="AQ47" s="39">
        <v>0</v>
      </c>
      <c r="AR47" s="39">
        <v>35.096526773745381</v>
      </c>
      <c r="AS47" s="39">
        <v>54.273400274875158</v>
      </c>
      <c r="AT47" s="43"/>
      <c r="AU47" s="43"/>
      <c r="AV47" s="43"/>
      <c r="AW47" s="39">
        <v>0</v>
      </c>
      <c r="AX47" s="39">
        <v>7.8008069220019995E-3</v>
      </c>
      <c r="AY47" s="39">
        <v>1.2056979883286611E-2</v>
      </c>
      <c r="AZ47" s="39">
        <v>0</v>
      </c>
      <c r="BA47" s="39">
        <v>1.9498070429858544E-2</v>
      </c>
      <c r="BB47" s="39">
        <v>3.11657396685062E-2</v>
      </c>
      <c r="BC47" s="44"/>
      <c r="BD47" s="44"/>
      <c r="BE47" s="44"/>
      <c r="BG47" s="40">
        <v>7.3383612328132329E-3</v>
      </c>
      <c r="BH47" s="40">
        <v>7.3919577807428378E-3</v>
      </c>
    </row>
    <row r="48" spans="2:60">
      <c r="B48" s="34"/>
      <c r="C48" s="22">
        <v>45</v>
      </c>
      <c r="D48" s="33">
        <f t="shared" si="3"/>
        <v>1474.995039236479</v>
      </c>
      <c r="E48" s="33">
        <f t="shared" si="9"/>
        <v>1408.9498757963593</v>
      </c>
      <c r="F48" s="33">
        <f t="shared" si="10"/>
        <v>1259.0666931232963</v>
      </c>
      <c r="G48" s="33">
        <f t="shared" si="4"/>
        <v>2847.1077785595357</v>
      </c>
      <c r="H48" s="33">
        <f t="shared" si="4"/>
        <v>2702.8614915919948</v>
      </c>
      <c r="I48" s="33">
        <f t="shared" si="4"/>
        <v>2384.4866646549713</v>
      </c>
      <c r="J48" s="41">
        <v>2263.0000000000005</v>
      </c>
      <c r="K48" s="41">
        <v>1867.8747466278669</v>
      </c>
      <c r="L48" s="41">
        <v>1487.8553448017931</v>
      </c>
      <c r="M48" s="33">
        <f t="shared" si="5"/>
        <v>0.65178746762548778</v>
      </c>
      <c r="N48" s="33">
        <f t="shared" si="1"/>
        <v>0.64489930741067336</v>
      </c>
      <c r="O48" s="33">
        <f t="shared" si="2"/>
        <v>0.62153844287866133</v>
      </c>
      <c r="P48" s="33">
        <f t="shared" si="6"/>
        <v>1.2581121425362514</v>
      </c>
      <c r="Q48" s="33">
        <f t="shared" si="7"/>
        <v>1.2314331793648683</v>
      </c>
      <c r="R48" s="33">
        <f t="shared" si="8"/>
        <v>1.1601077727145894</v>
      </c>
      <c r="S48" s="41">
        <v>1</v>
      </c>
      <c r="T48" s="41">
        <v>0.86728417994136808</v>
      </c>
      <c r="U48" s="41">
        <v>0.74296049963054778</v>
      </c>
      <c r="V48" s="38">
        <v>1474.995039236479</v>
      </c>
      <c r="W48" s="38">
        <v>1390.3442516536531</v>
      </c>
      <c r="X48" s="38">
        <v>1230.3263506828764</v>
      </c>
      <c r="Y48" s="38">
        <v>2847.1077785595357</v>
      </c>
      <c r="Z48" s="38">
        <v>2660.088951831493</v>
      </c>
      <c r="AA48" s="38">
        <v>2318.3812936117574</v>
      </c>
      <c r="AB48" s="43"/>
      <c r="AC48" s="43"/>
      <c r="AD48" s="43"/>
      <c r="AE48" s="38">
        <v>0.65178746762548778</v>
      </c>
      <c r="AF48" s="38">
        <v>0.63456284955361442</v>
      </c>
      <c r="AG48" s="38">
        <v>0.60557158596731697</v>
      </c>
      <c r="AH48" s="38">
        <v>1.2581121425362514</v>
      </c>
      <c r="AI48" s="38">
        <v>1.2076706572757006</v>
      </c>
      <c r="AJ48" s="38">
        <v>1.1221476896133185</v>
      </c>
      <c r="AK48" s="44"/>
      <c r="AL48" s="44"/>
      <c r="AM48" s="44"/>
      <c r="AN48" s="39">
        <v>0</v>
      </c>
      <c r="AO48" s="39">
        <v>18.605624142706088</v>
      </c>
      <c r="AP48" s="39">
        <v>28.740342440419802</v>
      </c>
      <c r="AQ48" s="39">
        <v>0</v>
      </c>
      <c r="AR48" s="39">
        <v>42.772539760501793</v>
      </c>
      <c r="AS48" s="39">
        <v>66.105371043213651</v>
      </c>
      <c r="AT48" s="43"/>
      <c r="AU48" s="43"/>
      <c r="AV48" s="43"/>
      <c r="AW48" s="39">
        <v>0</v>
      </c>
      <c r="AX48" s="39">
        <v>1.033645785705894E-2</v>
      </c>
      <c r="AY48" s="39">
        <v>1.5966856911344342E-2</v>
      </c>
      <c r="AZ48" s="39">
        <v>0</v>
      </c>
      <c r="BA48" s="39">
        <v>2.3762522089167654E-2</v>
      </c>
      <c r="BB48" s="39">
        <v>3.796008310127099E-2</v>
      </c>
      <c r="BC48" s="44"/>
      <c r="BD48" s="44"/>
      <c r="BE48" s="44"/>
      <c r="BG48" s="40">
        <v>7.3162622845319531E-3</v>
      </c>
      <c r="BH48" s="40">
        <v>7.3696997819269524E-3</v>
      </c>
    </row>
    <row r="49" spans="2:60">
      <c r="B49" s="34"/>
      <c r="C49" s="22">
        <v>46</v>
      </c>
      <c r="D49" s="33">
        <f t="shared" si="3"/>
        <v>1503.1287826515052</v>
      </c>
      <c r="E49" s="33">
        <f t="shared" si="9"/>
        <v>1436.5432615854966</v>
      </c>
      <c r="F49" s="33">
        <f t="shared" si="10"/>
        <v>1284.4270564020501</v>
      </c>
      <c r="G49" s="33">
        <f t="shared" si="4"/>
        <v>995.63876393416331</v>
      </c>
      <c r="H49" s="33">
        <f t="shared" si="4"/>
        <v>947.6947841875899</v>
      </c>
      <c r="I49" s="33">
        <f t="shared" si="4"/>
        <v>840.78133237609961</v>
      </c>
      <c r="J49" s="41">
        <v>2263.0000000000005</v>
      </c>
      <c r="K49" s="41">
        <v>1867.8747466278669</v>
      </c>
      <c r="L49" s="41">
        <v>1487.8553448017931</v>
      </c>
      <c r="M49" s="33">
        <f t="shared" si="5"/>
        <v>0.66421952392907879</v>
      </c>
      <c r="N49" s="33">
        <f t="shared" si="1"/>
        <v>0.65820003904289581</v>
      </c>
      <c r="O49" s="33">
        <f t="shared" si="2"/>
        <v>0.63598234222981076</v>
      </c>
      <c r="P49" s="33">
        <f t="shared" si="6"/>
        <v>0.43996410248968776</v>
      </c>
      <c r="Q49" s="33">
        <f t="shared" si="7"/>
        <v>0.43161232607525363</v>
      </c>
      <c r="R49" s="33">
        <f t="shared" si="8"/>
        <v>0.40830616111242157</v>
      </c>
      <c r="S49" s="41">
        <v>1</v>
      </c>
      <c r="T49" s="41">
        <v>0.86728417994136808</v>
      </c>
      <c r="U49" s="41">
        <v>0.74296049963054778</v>
      </c>
      <c r="V49" s="38">
        <v>1503.1287826515052</v>
      </c>
      <c r="W49" s="38">
        <v>1416.9906642584767</v>
      </c>
      <c r="X49" s="38">
        <v>1254.1843450451772</v>
      </c>
      <c r="Y49" s="38">
        <v>995.63876393416331</v>
      </c>
      <c r="Z49" s="38">
        <v>932.27433990210989</v>
      </c>
      <c r="AA49" s="38">
        <v>816.91768213285422</v>
      </c>
      <c r="AB49" s="43"/>
      <c r="AC49" s="43"/>
      <c r="AD49" s="43"/>
      <c r="AE49" s="38">
        <v>0.66421952392907879</v>
      </c>
      <c r="AF49" s="38">
        <v>0.64733748497232924</v>
      </c>
      <c r="AG49" s="38">
        <v>0.61918083592043693</v>
      </c>
      <c r="AH49" s="38">
        <v>0.43996410248968776</v>
      </c>
      <c r="AI49" s="38">
        <v>0.42304541258332029</v>
      </c>
      <c r="AJ49" s="38">
        <v>0.39460279432031797</v>
      </c>
      <c r="AK49" s="44"/>
      <c r="AL49" s="44"/>
      <c r="AM49" s="44"/>
      <c r="AN49" s="39">
        <v>0</v>
      </c>
      <c r="AO49" s="39">
        <v>19.552597327019782</v>
      </c>
      <c r="AP49" s="39">
        <v>30.242711356872793</v>
      </c>
      <c r="AQ49" s="39">
        <v>0</v>
      </c>
      <c r="AR49" s="39">
        <v>15.420444285479975</v>
      </c>
      <c r="AS49" s="39">
        <v>23.863650243245406</v>
      </c>
      <c r="AT49" s="43"/>
      <c r="AU49" s="43"/>
      <c r="AV49" s="43"/>
      <c r="AW49" s="39">
        <v>0</v>
      </c>
      <c r="AX49" s="39">
        <v>1.0862554070566549E-2</v>
      </c>
      <c r="AY49" s="39">
        <v>1.6801506309373777E-2</v>
      </c>
      <c r="AZ49" s="39">
        <v>0</v>
      </c>
      <c r="BA49" s="39">
        <v>8.5669134919333177E-3</v>
      </c>
      <c r="BB49" s="39">
        <v>1.3703366792103606E-2</v>
      </c>
      <c r="BC49" s="44"/>
      <c r="BD49" s="44"/>
      <c r="BE49" s="44"/>
      <c r="BG49" s="40">
        <v>7.3591287579702043E-3</v>
      </c>
      <c r="BH49" s="40">
        <v>7.4128740004528754E-3</v>
      </c>
    </row>
    <row r="50" spans="2:60">
      <c r="B50" s="34"/>
      <c r="C50" s="22">
        <v>47</v>
      </c>
      <c r="D50" s="33">
        <f t="shared" si="3"/>
        <v>1908.1764819388175</v>
      </c>
      <c r="E50" s="33">
        <f t="shared" si="9"/>
        <v>1824.1434398867543</v>
      </c>
      <c r="F50" s="33">
        <f t="shared" si="10"/>
        <v>1632.39584031405</v>
      </c>
      <c r="G50" s="33">
        <f t="shared" si="4"/>
        <v>1749.8393334160567</v>
      </c>
      <c r="H50" s="33">
        <f t="shared" si="4"/>
        <v>1662.5295600451566</v>
      </c>
      <c r="I50" s="33">
        <f t="shared" si="4"/>
        <v>1469.0370899423415</v>
      </c>
      <c r="J50" s="41">
        <v>2263.0000000000005</v>
      </c>
      <c r="K50" s="41">
        <v>1867.8747466278669</v>
      </c>
      <c r="L50" s="41">
        <v>1487.8553448017931</v>
      </c>
      <c r="M50" s="33">
        <f t="shared" si="5"/>
        <v>0.84320657619921235</v>
      </c>
      <c r="N50" s="33">
        <f t="shared" si="1"/>
        <v>0.83542341628258576</v>
      </c>
      <c r="O50" s="33">
        <f t="shared" si="2"/>
        <v>0.80711243280781941</v>
      </c>
      <c r="P50" s="33">
        <f t="shared" si="6"/>
        <v>0.77323876863281327</v>
      </c>
      <c r="Q50" s="33">
        <f t="shared" si="7"/>
        <v>0.75761912064350567</v>
      </c>
      <c r="R50" s="33">
        <f t="shared" si="8"/>
        <v>0.71506888848437367</v>
      </c>
      <c r="S50" s="41">
        <v>1</v>
      </c>
      <c r="T50" s="41">
        <v>0.86728417994136808</v>
      </c>
      <c r="U50" s="41">
        <v>0.74296049963054778</v>
      </c>
      <c r="V50" s="38">
        <v>1908.1764819388175</v>
      </c>
      <c r="W50" s="38">
        <v>1799.5458776073676</v>
      </c>
      <c r="X50" s="38">
        <v>1594.3544938092671</v>
      </c>
      <c r="Y50" s="38">
        <v>1749.8393334160567</v>
      </c>
      <c r="Z50" s="38">
        <v>1635.8382763651678</v>
      </c>
      <c r="AA50" s="38">
        <v>1427.7364272231387</v>
      </c>
      <c r="AB50" s="43"/>
      <c r="AC50" s="43"/>
      <c r="AD50" s="43"/>
      <c r="AE50" s="38">
        <v>0.84320657619921235</v>
      </c>
      <c r="AF50" s="38">
        <v>0.8217581039051487</v>
      </c>
      <c r="AG50" s="38">
        <v>0.78597835141627337</v>
      </c>
      <c r="AH50" s="38">
        <v>0.77323876863281327</v>
      </c>
      <c r="AI50" s="38">
        <v>0.74279062971017851</v>
      </c>
      <c r="AJ50" s="38">
        <v>0.69135256159266567</v>
      </c>
      <c r="AK50" s="44"/>
      <c r="AL50" s="44"/>
      <c r="AM50" s="44"/>
      <c r="AN50" s="39">
        <v>0</v>
      </c>
      <c r="AO50" s="39">
        <v>24.597562279386782</v>
      </c>
      <c r="AP50" s="39">
        <v>38.041346504782972</v>
      </c>
      <c r="AQ50" s="39">
        <v>0</v>
      </c>
      <c r="AR50" s="39">
        <v>26.69128367998886</v>
      </c>
      <c r="AS50" s="39">
        <v>41.300662719202862</v>
      </c>
      <c r="AT50" s="43"/>
      <c r="AU50" s="43"/>
      <c r="AV50" s="43"/>
      <c r="AW50" s="39">
        <v>0</v>
      </c>
      <c r="AX50" s="39">
        <v>1.3665312377437101E-2</v>
      </c>
      <c r="AY50" s="39">
        <v>2.1134081391546097E-2</v>
      </c>
      <c r="AZ50" s="39">
        <v>0</v>
      </c>
      <c r="BA50" s="39">
        <v>1.4828490933327139E-2</v>
      </c>
      <c r="BB50" s="39">
        <v>2.3716326891708026E-2</v>
      </c>
      <c r="BC50" s="44"/>
      <c r="BD50" s="44"/>
      <c r="BE50" s="44"/>
      <c r="BG50" s="40">
        <v>7.3533202462719412E-3</v>
      </c>
      <c r="BH50" s="40">
        <v>7.4070235606717282E-3</v>
      </c>
    </row>
    <row r="51" spans="2:60">
      <c r="B51" s="34"/>
      <c r="C51" s="22">
        <v>48</v>
      </c>
      <c r="D51" s="33">
        <f t="shared" si="3"/>
        <v>2457.0731603007744</v>
      </c>
      <c r="E51" s="33">
        <f t="shared" si="9"/>
        <v>2350.3556501677522</v>
      </c>
      <c r="F51" s="33">
        <f t="shared" si="10"/>
        <v>2105.4205541874549</v>
      </c>
      <c r="G51" s="33">
        <f t="shared" si="4"/>
        <v>956.27791714457567</v>
      </c>
      <c r="H51" s="33">
        <f t="shared" si="4"/>
        <v>912.6183352630361</v>
      </c>
      <c r="I51" s="33">
        <f t="shared" si="4"/>
        <v>814.25246922917029</v>
      </c>
      <c r="J51" s="41">
        <v>2263.0000000000005</v>
      </c>
      <c r="K51" s="41">
        <v>1867.8747466278669</v>
      </c>
      <c r="L51" s="41">
        <v>1487.8553448017931</v>
      </c>
      <c r="M51" s="33">
        <f t="shared" si="5"/>
        <v>1.0857592400798828</v>
      </c>
      <c r="N51" s="33">
        <f t="shared" si="1"/>
        <v>1.0771917355902274</v>
      </c>
      <c r="O51" s="33">
        <f t="shared" si="2"/>
        <v>1.0431289488799012</v>
      </c>
      <c r="P51" s="33">
        <f t="shared" si="6"/>
        <v>0.42257088693971523</v>
      </c>
      <c r="Q51" s="33">
        <f t="shared" si="7"/>
        <v>0.4155005547275698</v>
      </c>
      <c r="R51" s="33">
        <f t="shared" si="8"/>
        <v>0.39476414384467368</v>
      </c>
      <c r="S51" s="41">
        <v>1</v>
      </c>
      <c r="T51" s="41">
        <v>0.86728417994136808</v>
      </c>
      <c r="U51" s="41">
        <v>0.74296049963054778</v>
      </c>
      <c r="V51" s="38">
        <v>2457.0731603007744</v>
      </c>
      <c r="W51" s="38">
        <v>2317.8854863161873</v>
      </c>
      <c r="X51" s="38">
        <v>2055.0990057266235</v>
      </c>
      <c r="Y51" s="38">
        <v>956.27791714457567</v>
      </c>
      <c r="Z51" s="38">
        <v>897.41590972596168</v>
      </c>
      <c r="AA51" s="38">
        <v>790.67996715272261</v>
      </c>
      <c r="AB51" s="43"/>
      <c r="AC51" s="43"/>
      <c r="AD51" s="43"/>
      <c r="AE51" s="38">
        <v>1.0857592400798828</v>
      </c>
      <c r="AF51" s="38">
        <v>1.0591527556726914</v>
      </c>
      <c r="AG51" s="38">
        <v>1.0151725330683281</v>
      </c>
      <c r="AH51" s="38">
        <v>0.42257088693971523</v>
      </c>
      <c r="AI51" s="38">
        <v>0.40705476276252844</v>
      </c>
      <c r="AJ51" s="38">
        <v>0.38122796480799764</v>
      </c>
      <c r="AK51" s="44"/>
      <c r="AL51" s="44"/>
      <c r="AM51" s="44"/>
      <c r="AN51" s="39">
        <v>0</v>
      </c>
      <c r="AO51" s="39">
        <v>32.470163851564976</v>
      </c>
      <c r="AP51" s="39">
        <v>50.321548460831515</v>
      </c>
      <c r="AQ51" s="39">
        <v>0</v>
      </c>
      <c r="AR51" s="39">
        <v>15.202425537074438</v>
      </c>
      <c r="AS51" s="39">
        <v>23.57250207644773</v>
      </c>
      <c r="AT51" s="43"/>
      <c r="AU51" s="43"/>
      <c r="AV51" s="43"/>
      <c r="AW51" s="39">
        <v>0</v>
      </c>
      <c r="AX51" s="39">
        <v>1.8038979917536103E-2</v>
      </c>
      <c r="AY51" s="39">
        <v>2.7956415811573064E-2</v>
      </c>
      <c r="AZ51" s="39">
        <v>0</v>
      </c>
      <c r="BA51" s="39">
        <v>8.4457919650413535E-3</v>
      </c>
      <c r="BB51" s="39">
        <v>1.3536179036676022E-2</v>
      </c>
      <c r="BC51" s="44"/>
      <c r="BD51" s="44"/>
      <c r="BE51" s="44"/>
      <c r="BG51" s="40">
        <v>7.4263096894602865E-3</v>
      </c>
      <c r="BH51" s="40">
        <v>7.4805374864440402E-3</v>
      </c>
    </row>
    <row r="52" spans="2:60">
      <c r="B52" s="34"/>
      <c r="C52" s="22">
        <v>49</v>
      </c>
      <c r="D52" s="33">
        <f t="shared" si="3"/>
        <v>2954.8599527399047</v>
      </c>
      <c r="E52" s="33">
        <f t="shared" si="9"/>
        <v>2825.4251747134622</v>
      </c>
      <c r="F52" s="33">
        <f t="shared" si="10"/>
        <v>2528.5443481394432</v>
      </c>
      <c r="G52" s="33">
        <f t="shared" si="4"/>
        <v>839.28414552293248</v>
      </c>
      <c r="H52" s="33">
        <f t="shared" si="4"/>
        <v>800.89210353414126</v>
      </c>
      <c r="I52" s="33">
        <f t="shared" si="4"/>
        <v>714.48097554237097</v>
      </c>
      <c r="J52" s="41">
        <v>2263.0000000000005</v>
      </c>
      <c r="K52" s="41">
        <v>1867.8747466278669</v>
      </c>
      <c r="L52" s="41">
        <v>1487.8553448017931</v>
      </c>
      <c r="M52" s="33">
        <f t="shared" si="5"/>
        <v>1.3057268902960253</v>
      </c>
      <c r="N52" s="33">
        <f t="shared" si="1"/>
        <v>1.2963038894429719</v>
      </c>
      <c r="O52" s="33">
        <f t="shared" si="2"/>
        <v>1.2571287784321445</v>
      </c>
      <c r="P52" s="33">
        <f t="shared" si="6"/>
        <v>0.37087235772113675</v>
      </c>
      <c r="Q52" s="33">
        <f t="shared" si="7"/>
        <v>0.36477583700597627</v>
      </c>
      <c r="R52" s="33">
        <f t="shared" si="8"/>
        <v>0.34683625432955068</v>
      </c>
      <c r="S52" s="41">
        <v>1</v>
      </c>
      <c r="T52" s="41">
        <v>0.86728417994136808</v>
      </c>
      <c r="U52" s="41">
        <v>0.74296049963054778</v>
      </c>
      <c r="V52" s="38">
        <v>2954.8599527399047</v>
      </c>
      <c r="W52" s="38">
        <v>2786.2996779810483</v>
      </c>
      <c r="X52" s="38">
        <v>2467.8473177669393</v>
      </c>
      <c r="Y52" s="38">
        <v>839.28414552293248</v>
      </c>
      <c r="Z52" s="38">
        <v>787.58301718728239</v>
      </c>
      <c r="AA52" s="38">
        <v>693.82342241423441</v>
      </c>
      <c r="AB52" s="43"/>
      <c r="AC52" s="43"/>
      <c r="AD52" s="43"/>
      <c r="AE52" s="38">
        <v>1.3057268902960253</v>
      </c>
      <c r="AF52" s="38">
        <v>1.2745675023694087</v>
      </c>
      <c r="AG52" s="38">
        <v>1.2234082060029756</v>
      </c>
      <c r="AH52" s="38">
        <v>0.37087235772113675</v>
      </c>
      <c r="AI52" s="38">
        <v>0.35738190014661025</v>
      </c>
      <c r="AJ52" s="38">
        <v>0.33497394388430152</v>
      </c>
      <c r="AK52" s="44"/>
      <c r="AL52" s="44"/>
      <c r="AM52" s="44"/>
      <c r="AN52" s="39">
        <v>0</v>
      </c>
      <c r="AO52" s="39">
        <v>39.125496732413737</v>
      </c>
      <c r="AP52" s="39">
        <v>60.697030372503974</v>
      </c>
      <c r="AQ52" s="39">
        <v>0</v>
      </c>
      <c r="AR52" s="39">
        <v>13.309086346858873</v>
      </c>
      <c r="AS52" s="39">
        <v>20.657553128136584</v>
      </c>
      <c r="AT52" s="43"/>
      <c r="AU52" s="43"/>
      <c r="AV52" s="43"/>
      <c r="AW52" s="39">
        <v>0</v>
      </c>
      <c r="AX52" s="39">
        <v>2.1736387073563193E-2</v>
      </c>
      <c r="AY52" s="39">
        <v>3.3720572429168878E-2</v>
      </c>
      <c r="AZ52" s="39">
        <v>0</v>
      </c>
      <c r="BA52" s="39">
        <v>7.3939368593660378E-3</v>
      </c>
      <c r="BB52" s="39">
        <v>1.1862310445249168E-2</v>
      </c>
      <c r="BC52" s="44"/>
      <c r="BD52" s="44"/>
      <c r="BE52" s="44"/>
      <c r="BG52" s="40">
        <v>7.4525369332763113E-3</v>
      </c>
      <c r="BH52" s="40">
        <v>7.5069520894120254E-3</v>
      </c>
    </row>
    <row r="53" spans="2:60">
      <c r="B53" s="34"/>
      <c r="C53" s="22">
        <v>50</v>
      </c>
      <c r="D53" s="33">
        <f t="shared" si="3"/>
        <v>1316.2223434458979</v>
      </c>
      <c r="E53" s="33">
        <f t="shared" si="9"/>
        <v>1259.0713831444536</v>
      </c>
      <c r="F53" s="33">
        <f t="shared" si="10"/>
        <v>1128.2747598996045</v>
      </c>
      <c r="G53" s="33">
        <f t="shared" si="4"/>
        <v>1505.2921296668467</v>
      </c>
      <c r="H53" s="33">
        <f t="shared" si="4"/>
        <v>1433.3525299617938</v>
      </c>
      <c r="I53" s="33">
        <f t="shared" si="4"/>
        <v>1272.8635991807607</v>
      </c>
      <c r="J53" s="41">
        <v>2263.0000000000005</v>
      </c>
      <c r="K53" s="41">
        <v>1867.8747466278669</v>
      </c>
      <c r="L53" s="41">
        <v>1487.8553448017931</v>
      </c>
      <c r="M53" s="33">
        <f t="shared" si="5"/>
        <v>0.58162719551299058</v>
      </c>
      <c r="N53" s="33">
        <f t="shared" si="1"/>
        <v>0.5768530437754803</v>
      </c>
      <c r="O53" s="33">
        <f t="shared" si="2"/>
        <v>0.55843459974273402</v>
      </c>
      <c r="P53" s="33">
        <f t="shared" si="6"/>
        <v>0.66517548814266303</v>
      </c>
      <c r="Q53" s="33">
        <f t="shared" si="7"/>
        <v>0.65288529776900905</v>
      </c>
      <c r="R53" s="33">
        <f t="shared" si="8"/>
        <v>0.61835988404134201</v>
      </c>
      <c r="S53" s="41">
        <v>1</v>
      </c>
      <c r="T53" s="41">
        <v>0.86728417994136808</v>
      </c>
      <c r="U53" s="41">
        <v>0.74296049963054778</v>
      </c>
      <c r="V53" s="38">
        <v>1316.2223434458979</v>
      </c>
      <c r="W53" s="38">
        <v>1241.9103257745139</v>
      </c>
      <c r="X53" s="38">
        <v>1101.6534461122133</v>
      </c>
      <c r="Y53" s="38">
        <v>1505.2921296668467</v>
      </c>
      <c r="Z53" s="38">
        <v>1409.9948056973328</v>
      </c>
      <c r="AA53" s="38">
        <v>1236.6110094219689</v>
      </c>
      <c r="AB53" s="43"/>
      <c r="AC53" s="43"/>
      <c r="AD53" s="43"/>
      <c r="AE53" s="38">
        <v>0.58162719551299058</v>
      </c>
      <c r="AF53" s="38">
        <v>0.56731912301440268</v>
      </c>
      <c r="AG53" s="38">
        <v>0.54364498097196112</v>
      </c>
      <c r="AH53" s="38">
        <v>0.66517548814266303</v>
      </c>
      <c r="AI53" s="38">
        <v>0.63990878428875297</v>
      </c>
      <c r="AJ53" s="38">
        <v>0.59754234231722969</v>
      </c>
      <c r="AK53" s="44"/>
      <c r="AL53" s="44"/>
      <c r="AM53" s="44"/>
      <c r="AN53" s="39">
        <v>0</v>
      </c>
      <c r="AO53" s="39">
        <v>17.161057369939666</v>
      </c>
      <c r="AP53" s="39">
        <v>26.621313787391195</v>
      </c>
      <c r="AQ53" s="39">
        <v>0</v>
      </c>
      <c r="AR53" s="39">
        <v>23.357724264461012</v>
      </c>
      <c r="AS53" s="39">
        <v>36.252589758791899</v>
      </c>
      <c r="AT53" s="43"/>
      <c r="AU53" s="43"/>
      <c r="AV53" s="43"/>
      <c r="AW53" s="39">
        <v>0</v>
      </c>
      <c r="AX53" s="39">
        <v>9.5339207610775929E-3</v>
      </c>
      <c r="AY53" s="39">
        <v>1.4789618770772886E-2</v>
      </c>
      <c r="AZ53" s="39">
        <v>0</v>
      </c>
      <c r="BA53" s="39">
        <v>1.2976513480256115E-2</v>
      </c>
      <c r="BB53" s="39">
        <v>2.0817541724112317E-2</v>
      </c>
      <c r="BC53" s="44"/>
      <c r="BD53" s="44"/>
      <c r="BE53" s="44"/>
      <c r="BG53" s="40">
        <v>7.4511643789781047E-3</v>
      </c>
      <c r="BH53" s="40">
        <v>7.505569723137949E-3</v>
      </c>
    </row>
    <row r="54" spans="2:60">
      <c r="B54" s="34"/>
      <c r="C54" s="22">
        <v>51</v>
      </c>
      <c r="D54" s="33">
        <f t="shared" si="3"/>
        <v>1540.8488985641591</v>
      </c>
      <c r="E54" s="33">
        <f t="shared" si="9"/>
        <v>1475.3554189885806</v>
      </c>
      <c r="F54" s="33">
        <f t="shared" si="10"/>
        <v>1325.3575146166911</v>
      </c>
      <c r="G54" s="33">
        <f t="shared" si="4"/>
        <v>1433.7879223800544</v>
      </c>
      <c r="H54" s="33">
        <f t="shared" si="4"/>
        <v>1364.685462102701</v>
      </c>
      <c r="I54" s="33">
        <f t="shared" si="4"/>
        <v>1210.8372542474276</v>
      </c>
      <c r="J54" s="41">
        <v>2263.0000000000005</v>
      </c>
      <c r="K54" s="41">
        <v>1867.8747466278669</v>
      </c>
      <c r="L54" s="41">
        <v>1487.8553448017931</v>
      </c>
      <c r="M54" s="33">
        <f t="shared" si="5"/>
        <v>0.68088771478752064</v>
      </c>
      <c r="N54" s="33">
        <f t="shared" si="1"/>
        <v>0.67540206210376519</v>
      </c>
      <c r="O54" s="33">
        <f t="shared" si="2"/>
        <v>0.65416710042369086</v>
      </c>
      <c r="P54" s="33">
        <f t="shared" si="6"/>
        <v>0.63357840140523813</v>
      </c>
      <c r="Q54" s="33">
        <f t="shared" si="7"/>
        <v>0.62168786392585174</v>
      </c>
      <c r="R54" s="33">
        <f t="shared" si="8"/>
        <v>0.58853066389655062</v>
      </c>
      <c r="S54" s="41">
        <v>1</v>
      </c>
      <c r="T54" s="41">
        <v>0.86728417994136808</v>
      </c>
      <c r="U54" s="41">
        <v>0.74296049963054778</v>
      </c>
      <c r="V54" s="38">
        <v>1540.8488985641591</v>
      </c>
      <c r="W54" s="38">
        <v>1455.444194897226</v>
      </c>
      <c r="X54" s="38">
        <v>1294.5365846914631</v>
      </c>
      <c r="Y54" s="38">
        <v>1433.7879223800544</v>
      </c>
      <c r="Z54" s="38">
        <v>1342.6198671410127</v>
      </c>
      <c r="AA54" s="38">
        <v>1176.6639502722742</v>
      </c>
      <c r="AB54" s="43"/>
      <c r="AC54" s="43"/>
      <c r="AD54" s="43"/>
      <c r="AE54" s="38">
        <v>0.68088771478752064</v>
      </c>
      <c r="AF54" s="38">
        <v>0.66434027094190151</v>
      </c>
      <c r="AG54" s="38">
        <v>0.63704436157634203</v>
      </c>
      <c r="AH54" s="38">
        <v>0.63357840140523813</v>
      </c>
      <c r="AI54" s="38">
        <v>0.60942920005824719</v>
      </c>
      <c r="AJ54" s="38">
        <v>0.56890712290025525</v>
      </c>
      <c r="AK54" s="44"/>
      <c r="AL54" s="44"/>
      <c r="AM54" s="44"/>
      <c r="AN54" s="39">
        <v>0</v>
      </c>
      <c r="AO54" s="39">
        <v>19.911224091354633</v>
      </c>
      <c r="AP54" s="39">
        <v>30.820929925227929</v>
      </c>
      <c r="AQ54" s="39">
        <v>0</v>
      </c>
      <c r="AR54" s="39">
        <v>22.065594961688198</v>
      </c>
      <c r="AS54" s="39">
        <v>34.173303975153388</v>
      </c>
      <c r="AT54" s="43"/>
      <c r="AU54" s="43"/>
      <c r="AV54" s="43"/>
      <c r="AW54" s="39">
        <v>0</v>
      </c>
      <c r="AX54" s="39">
        <v>1.1061791161863687E-2</v>
      </c>
      <c r="AY54" s="39">
        <v>1.7122738847348853E-2</v>
      </c>
      <c r="AZ54" s="39">
        <v>0</v>
      </c>
      <c r="BA54" s="39">
        <v>1.2258663867604552E-2</v>
      </c>
      <c r="BB54" s="39">
        <v>1.9623540996295319E-2</v>
      </c>
      <c r="BC54" s="44"/>
      <c r="BD54" s="44"/>
      <c r="BE54" s="44"/>
      <c r="BG54" s="40">
        <v>7.3833174047470253E-3</v>
      </c>
      <c r="BH54" s="40">
        <v>7.4372361775239346E-3</v>
      </c>
    </row>
    <row r="55" spans="2:60">
      <c r="B55" s="34"/>
      <c r="C55" s="22">
        <v>52</v>
      </c>
      <c r="D55" s="33">
        <f t="shared" si="3"/>
        <v>1731.3797935611803</v>
      </c>
      <c r="E55" s="33">
        <f t="shared" si="9"/>
        <v>1656.4418264237647</v>
      </c>
      <c r="F55" s="33">
        <f t="shared" si="10"/>
        <v>1485.1493196905246</v>
      </c>
      <c r="G55" s="33">
        <f t="shared" si="4"/>
        <v>963.46915036626365</v>
      </c>
      <c r="H55" s="33">
        <f t="shared" si="4"/>
        <v>919.20920939601035</v>
      </c>
      <c r="I55" s="33">
        <f t="shared" si="4"/>
        <v>820.06293475358734</v>
      </c>
      <c r="J55" s="41">
        <v>2263.0000000000005</v>
      </c>
      <c r="K55" s="41">
        <v>1867.8747466278669</v>
      </c>
      <c r="L55" s="41">
        <v>1487.8553448017931</v>
      </c>
      <c r="M55" s="33">
        <f t="shared" si="5"/>
        <v>0.76508165866600986</v>
      </c>
      <c r="N55" s="33">
        <f t="shared" si="1"/>
        <v>0.75850564399671028</v>
      </c>
      <c r="O55" s="33">
        <f t="shared" si="2"/>
        <v>0.73381291203045718</v>
      </c>
      <c r="P55" s="33">
        <f t="shared" si="6"/>
        <v>0.42574863029883492</v>
      </c>
      <c r="Q55" s="33">
        <f t="shared" si="7"/>
        <v>0.41842703632818362</v>
      </c>
      <c r="R55" s="33">
        <f t="shared" si="8"/>
        <v>0.39740783664933843</v>
      </c>
      <c r="S55" s="41">
        <v>1</v>
      </c>
      <c r="T55" s="41">
        <v>0.86728417994136808</v>
      </c>
      <c r="U55" s="41">
        <v>0.74296049963054778</v>
      </c>
      <c r="V55" s="38">
        <v>1731.3797935611803</v>
      </c>
      <c r="W55" s="38">
        <v>1634.0288567652663</v>
      </c>
      <c r="X55" s="38">
        <v>1450.3599565223581</v>
      </c>
      <c r="Y55" s="38">
        <v>963.46915036626365</v>
      </c>
      <c r="Z55" s="38">
        <v>904.21264991754015</v>
      </c>
      <c r="AA55" s="38">
        <v>796.77335545460483</v>
      </c>
      <c r="AB55" s="43"/>
      <c r="AC55" s="43"/>
      <c r="AD55" s="43"/>
      <c r="AE55" s="38">
        <v>0.76508165866600986</v>
      </c>
      <c r="AF55" s="38">
        <v>0.74605399418643337</v>
      </c>
      <c r="AG55" s="38">
        <v>0.71448548804814238</v>
      </c>
      <c r="AH55" s="38">
        <v>0.42574863029883492</v>
      </c>
      <c r="AI55" s="38">
        <v>0.41009561439570019</v>
      </c>
      <c r="AJ55" s="38">
        <v>0.384034122053514</v>
      </c>
      <c r="AK55" s="44"/>
      <c r="AL55" s="44"/>
      <c r="AM55" s="44"/>
      <c r="AN55" s="39">
        <v>0</v>
      </c>
      <c r="AO55" s="39">
        <v>22.412969658498451</v>
      </c>
      <c r="AP55" s="39">
        <v>34.789363168166588</v>
      </c>
      <c r="AQ55" s="39">
        <v>0</v>
      </c>
      <c r="AR55" s="39">
        <v>14.9965594784702</v>
      </c>
      <c r="AS55" s="39">
        <v>23.289579298982481</v>
      </c>
      <c r="AT55" s="43"/>
      <c r="AU55" s="43"/>
      <c r="AV55" s="43"/>
      <c r="AW55" s="39">
        <v>0</v>
      </c>
      <c r="AX55" s="39">
        <v>1.2451649810276921E-2</v>
      </c>
      <c r="AY55" s="39">
        <v>1.9327423982314771E-2</v>
      </c>
      <c r="AZ55" s="39">
        <v>0</v>
      </c>
      <c r="BA55" s="39">
        <v>8.3314219324834415E-3</v>
      </c>
      <c r="BB55" s="39">
        <v>1.3373714595824419E-2</v>
      </c>
      <c r="BC55" s="44"/>
      <c r="BD55" s="44"/>
      <c r="BE55" s="44"/>
      <c r="BG55" s="40">
        <v>7.4589737310089398E-3</v>
      </c>
      <c r="BH55" s="40">
        <v>7.5134336145396014E-3</v>
      </c>
    </row>
    <row r="56" spans="2:60">
      <c r="B56" s="34"/>
      <c r="C56" s="22">
        <v>53</v>
      </c>
      <c r="D56" s="33">
        <f t="shared" si="3"/>
        <v>2509.2650531814088</v>
      </c>
      <c r="E56" s="33">
        <f t="shared" si="9"/>
        <v>2402.4807796581454</v>
      </c>
      <c r="F56" s="33">
        <f t="shared" si="10"/>
        <v>2157.7529047753114</v>
      </c>
      <c r="G56" s="33">
        <f t="shared" si="4"/>
        <v>1243.0619131931835</v>
      </c>
      <c r="H56" s="33">
        <f t="shared" si="4"/>
        <v>1184.2097028073219</v>
      </c>
      <c r="I56" s="33">
        <f t="shared" si="4"/>
        <v>1052.5639387897079</v>
      </c>
      <c r="J56" s="41">
        <v>2263.0000000000005</v>
      </c>
      <c r="K56" s="41">
        <v>1867.8747466278669</v>
      </c>
      <c r="L56" s="41">
        <v>1487.8553448017931</v>
      </c>
      <c r="M56" s="33">
        <f t="shared" si="5"/>
        <v>1.1088223831999153</v>
      </c>
      <c r="N56" s="33">
        <f t="shared" si="1"/>
        <v>1.1002605295345798</v>
      </c>
      <c r="O56" s="33">
        <f t="shared" si="2"/>
        <v>1.0663411102252849</v>
      </c>
      <c r="P56" s="33">
        <f t="shared" si="6"/>
        <v>0.54929823826477386</v>
      </c>
      <c r="Q56" s="33">
        <f t="shared" si="7"/>
        <v>0.53922050822747658</v>
      </c>
      <c r="R56" s="33">
        <f t="shared" si="8"/>
        <v>0.51072677829567759</v>
      </c>
      <c r="S56" s="41">
        <v>1</v>
      </c>
      <c r="T56" s="41">
        <v>0.86728417994136808</v>
      </c>
      <c r="U56" s="41">
        <v>0.74296049963054778</v>
      </c>
      <c r="V56" s="38">
        <v>2509.2650531814088</v>
      </c>
      <c r="W56" s="38">
        <v>2369.7868697938229</v>
      </c>
      <c r="X56" s="38">
        <v>2106.9286912692414</v>
      </c>
      <c r="Y56" s="38">
        <v>1243.0619131931835</v>
      </c>
      <c r="Z56" s="38">
        <v>1164.7135665717506</v>
      </c>
      <c r="AA56" s="38">
        <v>1022.2407441573966</v>
      </c>
      <c r="AB56" s="43"/>
      <c r="AC56" s="43"/>
      <c r="AD56" s="43"/>
      <c r="AE56" s="38">
        <v>1.1088223831999153</v>
      </c>
      <c r="AF56" s="38">
        <v>1.0820972462766227</v>
      </c>
      <c r="AG56" s="38">
        <v>1.0381054360552462</v>
      </c>
      <c r="AH56" s="38">
        <v>0.54929823826477386</v>
      </c>
      <c r="AI56" s="38">
        <v>0.52838932142993689</v>
      </c>
      <c r="AJ56" s="38">
        <v>0.49331410864458247</v>
      </c>
      <c r="AK56" s="44"/>
      <c r="AL56" s="44"/>
      <c r="AM56" s="44"/>
      <c r="AN56" s="39">
        <v>0</v>
      </c>
      <c r="AO56" s="39">
        <v>32.693909864322499</v>
      </c>
      <c r="AP56" s="39">
        <v>50.824213506069817</v>
      </c>
      <c r="AQ56" s="39">
        <v>0</v>
      </c>
      <c r="AR56" s="39">
        <v>19.496136235571388</v>
      </c>
      <c r="AS56" s="39">
        <v>30.323194632311164</v>
      </c>
      <c r="AT56" s="43"/>
      <c r="AU56" s="43"/>
      <c r="AV56" s="43"/>
      <c r="AW56" s="39">
        <v>0</v>
      </c>
      <c r="AX56" s="39">
        <v>1.8163283257956946E-2</v>
      </c>
      <c r="AY56" s="39">
        <v>2.8235674170038791E-2</v>
      </c>
      <c r="AZ56" s="39">
        <v>0</v>
      </c>
      <c r="BA56" s="39">
        <v>1.0831186797539659E-2</v>
      </c>
      <c r="BB56" s="39">
        <v>1.7412669651095086E-2</v>
      </c>
      <c r="BC56" s="44"/>
      <c r="BD56" s="44"/>
      <c r="BE56" s="44"/>
      <c r="BG56" s="40">
        <v>7.51561379064961E-3</v>
      </c>
      <c r="BH56" s="40">
        <v>7.5704809513431198E-3</v>
      </c>
    </row>
    <row r="57" spans="2:60">
      <c r="B57" s="34"/>
      <c r="C57" s="22">
        <v>54</v>
      </c>
      <c r="D57" s="33">
        <f t="shared" si="3"/>
        <v>759.2767108980612</v>
      </c>
      <c r="E57" s="33">
        <f t="shared" si="9"/>
        <v>727.79103333537807</v>
      </c>
      <c r="F57" s="33">
        <f t="shared" si="10"/>
        <v>655.71656582256117</v>
      </c>
      <c r="G57" s="33">
        <f t="shared" si="4"/>
        <v>289.03832465051897</v>
      </c>
      <c r="H57" s="33">
        <f t="shared" si="4"/>
        <v>275.5206055448848</v>
      </c>
      <c r="I57" s="33">
        <f t="shared" si="4"/>
        <v>245.33977335953449</v>
      </c>
      <c r="J57" s="41">
        <v>2263.0000000000005</v>
      </c>
      <c r="K57" s="41">
        <v>1867.8747466278669</v>
      </c>
      <c r="L57" s="41">
        <v>1487.8553448017931</v>
      </c>
      <c r="M57" s="33">
        <f t="shared" si="5"/>
        <v>0.33551776884580692</v>
      </c>
      <c r="N57" s="33">
        <f t="shared" si="1"/>
        <v>0.33281074131349891</v>
      </c>
      <c r="O57" s="33">
        <f t="shared" si="2"/>
        <v>0.32245661706664114</v>
      </c>
      <c r="P57" s="33">
        <f t="shared" si="6"/>
        <v>0.12772351950973002</v>
      </c>
      <c r="Q57" s="33">
        <f t="shared" si="7"/>
        <v>0.12541219503974743</v>
      </c>
      <c r="R57" s="33">
        <f t="shared" si="8"/>
        <v>0.11889925058558176</v>
      </c>
      <c r="S57" s="41">
        <v>1</v>
      </c>
      <c r="T57" s="41">
        <v>0.86728417994136808</v>
      </c>
      <c r="U57" s="41">
        <v>0.74296049963054778</v>
      </c>
      <c r="V57" s="38">
        <v>759.2767108980612</v>
      </c>
      <c r="W57" s="38">
        <v>718.11930885006086</v>
      </c>
      <c r="X57" s="38">
        <v>640.74586871281986</v>
      </c>
      <c r="Y57" s="38">
        <v>289.03832465051897</v>
      </c>
      <c r="Z57" s="38">
        <v>271.06872079489693</v>
      </c>
      <c r="AA57" s="38">
        <v>238.44522892517995</v>
      </c>
      <c r="AB57" s="43"/>
      <c r="AC57" s="43"/>
      <c r="AD57" s="43"/>
      <c r="AE57" s="38">
        <v>0.33551776884580692</v>
      </c>
      <c r="AF57" s="38">
        <v>0.32743756104387822</v>
      </c>
      <c r="AG57" s="38">
        <v>0.31413956311678487</v>
      </c>
      <c r="AH57" s="38">
        <v>0.12772351950973002</v>
      </c>
      <c r="AI57" s="38">
        <v>0.12293892573419862</v>
      </c>
      <c r="AJ57" s="38">
        <v>0.11494015504548689</v>
      </c>
      <c r="AK57" s="44"/>
      <c r="AL57" s="44"/>
      <c r="AM57" s="44"/>
      <c r="AN57" s="39">
        <v>0</v>
      </c>
      <c r="AO57" s="39">
        <v>9.6717244853172311</v>
      </c>
      <c r="AP57" s="39">
        <v>14.970697109741256</v>
      </c>
      <c r="AQ57" s="39">
        <v>0</v>
      </c>
      <c r="AR57" s="39">
        <v>4.4518847499878564</v>
      </c>
      <c r="AS57" s="39">
        <v>6.8945444343545308</v>
      </c>
      <c r="AT57" s="43"/>
      <c r="AU57" s="43"/>
      <c r="AV57" s="43"/>
      <c r="AW57" s="39">
        <v>0</v>
      </c>
      <c r="AX57" s="39">
        <v>5.3731802696206851E-3</v>
      </c>
      <c r="AY57" s="39">
        <v>8.317053949856254E-3</v>
      </c>
      <c r="AZ57" s="39">
        <v>0</v>
      </c>
      <c r="BA57" s="39">
        <v>2.4732693055488086E-3</v>
      </c>
      <c r="BB57" s="39">
        <v>3.9590955400948648E-3</v>
      </c>
      <c r="BC57" s="44"/>
      <c r="BD57" s="44"/>
      <c r="BE57" s="44"/>
      <c r="BG57" s="40">
        <v>7.3819101825380873E-3</v>
      </c>
      <c r="BH57" s="40">
        <v>7.4358187697543586E-3</v>
      </c>
    </row>
    <row r="58" spans="2:60">
      <c r="B58" s="34"/>
      <c r="C58" s="22">
        <v>55</v>
      </c>
      <c r="D58" s="33">
        <f t="shared" si="3"/>
        <v>1604.8864418349031</v>
      </c>
      <c r="E58" s="33">
        <f t="shared" si="9"/>
        <v>1539.5650934313792</v>
      </c>
      <c r="F58" s="33">
        <f t="shared" si="10"/>
        <v>1389.1919441371592</v>
      </c>
      <c r="G58" s="33">
        <f t="shared" si="4"/>
        <v>791.80096989150002</v>
      </c>
      <c r="H58" s="33">
        <f t="shared" si="4"/>
        <v>755.37564022925528</v>
      </c>
      <c r="I58" s="33">
        <f t="shared" si="4"/>
        <v>673.73127842336237</v>
      </c>
      <c r="J58" s="41">
        <v>2263.0000000000005</v>
      </c>
      <c r="K58" s="41">
        <v>1867.8747466278669</v>
      </c>
      <c r="L58" s="41">
        <v>1487.8553448017931</v>
      </c>
      <c r="M58" s="33">
        <f t="shared" si="5"/>
        <v>0.70918534769549402</v>
      </c>
      <c r="N58" s="33">
        <f t="shared" si="1"/>
        <v>0.70386735739787765</v>
      </c>
      <c r="O58" s="33">
        <f t="shared" si="2"/>
        <v>0.68249896474026706</v>
      </c>
      <c r="P58" s="33">
        <f t="shared" si="6"/>
        <v>0.34988995576292531</v>
      </c>
      <c r="Q58" s="33">
        <f t="shared" si="7"/>
        <v>0.343805090231453</v>
      </c>
      <c r="R58" s="33">
        <f t="shared" si="8"/>
        <v>0.3263621635786072</v>
      </c>
      <c r="S58" s="41">
        <v>1</v>
      </c>
      <c r="T58" s="41">
        <v>0.86728417994136808</v>
      </c>
      <c r="U58" s="41">
        <v>0.74296049963054778</v>
      </c>
      <c r="V58" s="38">
        <v>1604.8864418349031</v>
      </c>
      <c r="W58" s="38">
        <v>1518.6680684262774</v>
      </c>
      <c r="X58" s="38">
        <v>1356.7283436398727</v>
      </c>
      <c r="Y58" s="38">
        <v>791.80096989150002</v>
      </c>
      <c r="Z58" s="38">
        <v>743.00041804096509</v>
      </c>
      <c r="AA58" s="38">
        <v>654.49646517135761</v>
      </c>
      <c r="AB58" s="43"/>
      <c r="AC58" s="43"/>
      <c r="AD58" s="43"/>
      <c r="AE58" s="38">
        <v>0.70918534769549402</v>
      </c>
      <c r="AF58" s="38">
        <v>0.69225789906170998</v>
      </c>
      <c r="AG58" s="38">
        <v>0.66446363113066353</v>
      </c>
      <c r="AH58" s="38">
        <v>0.34988995576292531</v>
      </c>
      <c r="AI58" s="38">
        <v>0.33692996679351406</v>
      </c>
      <c r="AJ58" s="38">
        <v>0.31531684157283218</v>
      </c>
      <c r="AK58" s="44"/>
      <c r="AL58" s="44"/>
      <c r="AM58" s="44"/>
      <c r="AN58" s="39">
        <v>0</v>
      </c>
      <c r="AO58" s="39">
        <v>20.89702500510176</v>
      </c>
      <c r="AP58" s="39">
        <v>32.463600497286421</v>
      </c>
      <c r="AQ58" s="39">
        <v>0</v>
      </c>
      <c r="AR58" s="39">
        <v>12.375222188290149</v>
      </c>
      <c r="AS58" s="39">
        <v>19.234813252004777</v>
      </c>
      <c r="AT58" s="43"/>
      <c r="AU58" s="43"/>
      <c r="AV58" s="43"/>
      <c r="AW58" s="39">
        <v>0</v>
      </c>
      <c r="AX58" s="39">
        <v>1.1609458336167647E-2</v>
      </c>
      <c r="AY58" s="39">
        <v>1.803533360960357E-2</v>
      </c>
      <c r="AZ58" s="39">
        <v>0</v>
      </c>
      <c r="BA58" s="39">
        <v>6.8751234379389684E-3</v>
      </c>
      <c r="BB58" s="39">
        <v>1.1045322005775009E-2</v>
      </c>
      <c r="BC58" s="44"/>
      <c r="BD58" s="44"/>
      <c r="BE58" s="44"/>
      <c r="BG58" s="40">
        <v>7.4868226839335987E-3</v>
      </c>
      <c r="BH58" s="40">
        <v>7.5414824273532573E-3</v>
      </c>
    </row>
    <row r="59" spans="2:60">
      <c r="B59" s="34"/>
      <c r="C59" s="22">
        <v>56</v>
      </c>
      <c r="D59" s="33">
        <f t="shared" si="3"/>
        <v>2063.9991883497964</v>
      </c>
      <c r="E59" s="33">
        <f t="shared" si="9"/>
        <v>1977.6331099437014</v>
      </c>
      <c r="F59" s="33">
        <f t="shared" si="10"/>
        <v>1779.8337553244451</v>
      </c>
      <c r="G59" s="33">
        <f t="shared" si="4"/>
        <v>684.64627689253757</v>
      </c>
      <c r="H59" s="33">
        <f t="shared" si="4"/>
        <v>652.28751427419843</v>
      </c>
      <c r="I59" s="33">
        <f t="shared" si="4"/>
        <v>580.0953581190721</v>
      </c>
      <c r="J59" s="41">
        <v>2263.0000000000005</v>
      </c>
      <c r="K59" s="41">
        <v>1867.8747466278669</v>
      </c>
      <c r="L59" s="41">
        <v>1487.8553448017931</v>
      </c>
      <c r="M59" s="33">
        <f t="shared" si="5"/>
        <v>0.9120632736852835</v>
      </c>
      <c r="N59" s="33">
        <f t="shared" si="1"/>
        <v>0.90462303245614883</v>
      </c>
      <c r="O59" s="33">
        <f t="shared" si="2"/>
        <v>0.87615843716372455</v>
      </c>
      <c r="P59" s="33">
        <f t="shared" si="6"/>
        <v>0.30253922973598651</v>
      </c>
      <c r="Q59" s="33">
        <f t="shared" si="7"/>
        <v>0.29701623921785103</v>
      </c>
      <c r="R59" s="33">
        <f t="shared" si="8"/>
        <v>0.28148526128393836</v>
      </c>
      <c r="S59" s="41">
        <v>1</v>
      </c>
      <c r="T59" s="41">
        <v>0.86728417994136808</v>
      </c>
      <c r="U59" s="41">
        <v>0.74296049963054778</v>
      </c>
      <c r="V59" s="38">
        <v>2063.9991883497964</v>
      </c>
      <c r="W59" s="38">
        <v>1951.119683172371</v>
      </c>
      <c r="X59" s="38">
        <v>1738.726244766372</v>
      </c>
      <c r="Y59" s="38">
        <v>684.64627689253757</v>
      </c>
      <c r="Z59" s="38">
        <v>641.71542932659816</v>
      </c>
      <c r="AA59" s="38">
        <v>563.69553573003611</v>
      </c>
      <c r="AB59" s="43"/>
      <c r="AC59" s="43"/>
      <c r="AD59" s="43"/>
      <c r="AE59" s="38">
        <v>0.9120632736852835</v>
      </c>
      <c r="AF59" s="38">
        <v>0.88989335091652089</v>
      </c>
      <c r="AG59" s="38">
        <v>0.85332093129812847</v>
      </c>
      <c r="AH59" s="38">
        <v>0.30253922973598651</v>
      </c>
      <c r="AI59" s="38">
        <v>0.29114285869140644</v>
      </c>
      <c r="AJ59" s="38">
        <v>0.27206789305939677</v>
      </c>
      <c r="AK59" s="44"/>
      <c r="AL59" s="44"/>
      <c r="AM59" s="44"/>
      <c r="AN59" s="39">
        <v>0</v>
      </c>
      <c r="AO59" s="39">
        <v>26.513426771330355</v>
      </c>
      <c r="AP59" s="39">
        <v>41.107510558072981</v>
      </c>
      <c r="AQ59" s="39">
        <v>0</v>
      </c>
      <c r="AR59" s="39">
        <v>10.572084947600267</v>
      </c>
      <c r="AS59" s="39">
        <v>16.399822389036022</v>
      </c>
      <c r="AT59" s="43"/>
      <c r="AU59" s="43"/>
      <c r="AV59" s="43"/>
      <c r="AW59" s="39">
        <v>0</v>
      </c>
      <c r="AX59" s="39">
        <v>1.4729681539627977E-2</v>
      </c>
      <c r="AY59" s="39">
        <v>2.2837505865596103E-2</v>
      </c>
      <c r="AZ59" s="39">
        <v>0</v>
      </c>
      <c r="BA59" s="39">
        <v>5.8733805264445911E-3</v>
      </c>
      <c r="BB59" s="39">
        <v>9.4173682245415873E-3</v>
      </c>
      <c r="BC59" s="44"/>
      <c r="BD59" s="44"/>
      <c r="BE59" s="44"/>
      <c r="BG59" s="40">
        <v>7.4262767335532675E-3</v>
      </c>
      <c r="BH59" s="40">
        <v>7.4805025329782197E-3</v>
      </c>
    </row>
    <row r="60" spans="2:60">
      <c r="B60" s="34"/>
      <c r="C60" s="22">
        <v>57</v>
      </c>
      <c r="D60" s="33">
        <f t="shared" si="3"/>
        <v>1558.3068861857309</v>
      </c>
      <c r="E60" s="33">
        <f t="shared" si="9"/>
        <v>1491.526500547428</v>
      </c>
      <c r="F60" s="33">
        <f t="shared" si="10"/>
        <v>1339.2439175910583</v>
      </c>
      <c r="G60" s="33">
        <f t="shared" si="4"/>
        <v>399.48103025326532</v>
      </c>
      <c r="H60" s="33">
        <f t="shared" si="4"/>
        <v>380.17363556423902</v>
      </c>
      <c r="I60" s="33">
        <f t="shared" si="4"/>
        <v>337.24110691995747</v>
      </c>
      <c r="J60" s="41">
        <v>2263.0000000000005</v>
      </c>
      <c r="K60" s="41">
        <v>1867.8747466278669</v>
      </c>
      <c r="L60" s="41">
        <v>1487.8553448017931</v>
      </c>
      <c r="M60" s="33">
        <f t="shared" si="5"/>
        <v>0.68860224754119792</v>
      </c>
      <c r="N60" s="33">
        <f t="shared" si="1"/>
        <v>0.68245997156859339</v>
      </c>
      <c r="O60" s="33">
        <f t="shared" si="2"/>
        <v>0.66005621156706995</v>
      </c>
      <c r="P60" s="33">
        <f t="shared" si="6"/>
        <v>0.17652718968328115</v>
      </c>
      <c r="Q60" s="33">
        <f t="shared" si="7"/>
        <v>0.17319210262003204</v>
      </c>
      <c r="R60" s="33">
        <f t="shared" si="8"/>
        <v>0.16393124363793005</v>
      </c>
      <c r="S60" s="41">
        <v>1</v>
      </c>
      <c r="T60" s="41">
        <v>0.86728417994136808</v>
      </c>
      <c r="U60" s="41">
        <v>0.74296049963054778</v>
      </c>
      <c r="V60" s="38">
        <v>1558.3068861857309</v>
      </c>
      <c r="W60" s="38">
        <v>1471.7685430198183</v>
      </c>
      <c r="X60" s="38">
        <v>1308.6943368147986</v>
      </c>
      <c r="Y60" s="38">
        <v>399.48103025326532</v>
      </c>
      <c r="Z60" s="38">
        <v>374.06150097014392</v>
      </c>
      <c r="AA60" s="38">
        <v>327.78570670200628</v>
      </c>
      <c r="AB60" s="43"/>
      <c r="AC60" s="43"/>
      <c r="AD60" s="43"/>
      <c r="AE60" s="38">
        <v>0.68860224754119792</v>
      </c>
      <c r="AF60" s="38">
        <v>0.67148332849769909</v>
      </c>
      <c r="AG60" s="38">
        <v>0.64308422224692563</v>
      </c>
      <c r="AH60" s="38">
        <v>0.17652718968328115</v>
      </c>
      <c r="AI60" s="38">
        <v>0.16979647228997918</v>
      </c>
      <c r="AJ60" s="38">
        <v>0.15850161254495018</v>
      </c>
      <c r="AK60" s="44"/>
      <c r="AL60" s="44"/>
      <c r="AM60" s="44"/>
      <c r="AN60" s="39">
        <v>0</v>
      </c>
      <c r="AO60" s="39">
        <v>19.757957527609783</v>
      </c>
      <c r="AP60" s="39">
        <v>30.549580776259752</v>
      </c>
      <c r="AQ60" s="39">
        <v>0</v>
      </c>
      <c r="AR60" s="39">
        <v>6.1121345940951235</v>
      </c>
      <c r="AS60" s="39">
        <v>9.45540021795121</v>
      </c>
      <c r="AT60" s="43"/>
      <c r="AU60" s="43"/>
      <c r="AV60" s="43"/>
      <c r="AW60" s="39">
        <v>0</v>
      </c>
      <c r="AX60" s="39">
        <v>1.0976643070894326E-2</v>
      </c>
      <c r="AY60" s="39">
        <v>1.6971989320144303E-2</v>
      </c>
      <c r="AZ60" s="39">
        <v>0</v>
      </c>
      <c r="BA60" s="39">
        <v>3.395630330052845E-3</v>
      </c>
      <c r="BB60" s="39">
        <v>5.4296310929798659E-3</v>
      </c>
      <c r="BC60" s="44"/>
      <c r="BD60" s="44"/>
      <c r="BE60" s="44"/>
      <c r="BG60" s="40">
        <v>7.3419999140694721E-3</v>
      </c>
      <c r="BH60" s="40">
        <v>7.3956214966571631E-3</v>
      </c>
    </row>
    <row r="61" spans="2:60">
      <c r="B61" s="34"/>
      <c r="C61" s="22">
        <v>58</v>
      </c>
      <c r="D61" s="33">
        <f t="shared" si="3"/>
        <v>1273.6077759421146</v>
      </c>
      <c r="E61" s="33">
        <f t="shared" si="9"/>
        <v>1218.6125738433695</v>
      </c>
      <c r="F61" s="33">
        <f t="shared" si="10"/>
        <v>1093.1958320705462</v>
      </c>
      <c r="G61" s="33">
        <f t="shared" si="4"/>
        <v>1427.249525404294</v>
      </c>
      <c r="H61" s="33">
        <f t="shared" si="4"/>
        <v>1357.6093690262962</v>
      </c>
      <c r="I61" s="33">
        <f t="shared" si="4"/>
        <v>1203.0062010569884</v>
      </c>
      <c r="J61" s="41">
        <v>2263.0000000000005</v>
      </c>
      <c r="K61" s="41">
        <v>1867.8747466278669</v>
      </c>
      <c r="L61" s="41">
        <v>1487.8553448017931</v>
      </c>
      <c r="M61" s="33">
        <f t="shared" si="5"/>
        <v>0.56279618910389517</v>
      </c>
      <c r="N61" s="33">
        <f t="shared" si="1"/>
        <v>0.55783249284252245</v>
      </c>
      <c r="O61" s="33">
        <f t="shared" si="2"/>
        <v>0.53958450508680811</v>
      </c>
      <c r="P61" s="33">
        <f t="shared" si="6"/>
        <v>0.63068914070008564</v>
      </c>
      <c r="Q61" s="33">
        <f t="shared" si="7"/>
        <v>0.61864315193864428</v>
      </c>
      <c r="R61" s="33">
        <f t="shared" si="8"/>
        <v>0.58535662290779811</v>
      </c>
      <c r="S61" s="41">
        <v>1</v>
      </c>
      <c r="T61" s="41">
        <v>0.86728417994136808</v>
      </c>
      <c r="U61" s="41">
        <v>0.74296049963054778</v>
      </c>
      <c r="V61" s="38">
        <v>1273.6077759421146</v>
      </c>
      <c r="W61" s="38">
        <v>1202.4198293403272</v>
      </c>
      <c r="X61" s="38">
        <v>1068.1882069289773</v>
      </c>
      <c r="Y61" s="38">
        <v>1427.249525404294</v>
      </c>
      <c r="Z61" s="38">
        <v>1335.8830124084848</v>
      </c>
      <c r="AA61" s="38">
        <v>1169.4353034054816</v>
      </c>
      <c r="AB61" s="43"/>
      <c r="AC61" s="43"/>
      <c r="AD61" s="43"/>
      <c r="AE61" s="38">
        <v>0.56279618910389517</v>
      </c>
      <c r="AF61" s="38">
        <v>0.54883652367416558</v>
      </c>
      <c r="AG61" s="38">
        <v>0.52569138000815874</v>
      </c>
      <c r="AH61" s="38">
        <v>0.63068914070008564</v>
      </c>
      <c r="AI61" s="38">
        <v>0.60657295381763787</v>
      </c>
      <c r="AJ61" s="38">
        <v>0.56607900530237831</v>
      </c>
      <c r="AK61" s="44"/>
      <c r="AL61" s="44"/>
      <c r="AM61" s="44"/>
      <c r="AN61" s="39">
        <v>0</v>
      </c>
      <c r="AO61" s="39">
        <v>16.192744503042444</v>
      </c>
      <c r="AP61" s="39">
        <v>25.007625141568848</v>
      </c>
      <c r="AQ61" s="39">
        <v>0</v>
      </c>
      <c r="AR61" s="39">
        <v>21.726356617811511</v>
      </c>
      <c r="AS61" s="39">
        <v>33.570897651506911</v>
      </c>
      <c r="AT61" s="43"/>
      <c r="AU61" s="43"/>
      <c r="AV61" s="43"/>
      <c r="AW61" s="39">
        <v>0</v>
      </c>
      <c r="AX61" s="39">
        <v>8.995969168356913E-3</v>
      </c>
      <c r="AY61" s="39">
        <v>1.3893125078649362E-2</v>
      </c>
      <c r="AZ61" s="39">
        <v>0</v>
      </c>
      <c r="BA61" s="39">
        <v>1.2070198121006393E-2</v>
      </c>
      <c r="BB61" s="39">
        <v>1.9277617605419822E-2</v>
      </c>
      <c r="BC61" s="44"/>
      <c r="BD61" s="44"/>
      <c r="BE61" s="44"/>
      <c r="BG61" s="40">
        <v>7.3086065057654543E-3</v>
      </c>
      <c r="BH61" s="40">
        <v>7.361988980988594E-3</v>
      </c>
    </row>
    <row r="62" spans="2:60">
      <c r="B62" s="34"/>
      <c r="C62" s="22">
        <v>59</v>
      </c>
      <c r="D62" s="33">
        <f t="shared" si="3"/>
        <v>2330.3223012366298</v>
      </c>
      <c r="E62" s="33">
        <f t="shared" si="9"/>
        <v>2229.1465516019534</v>
      </c>
      <c r="F62" s="33">
        <f t="shared" si="10"/>
        <v>1998.1446131724897</v>
      </c>
      <c r="G62" s="33">
        <f t="shared" si="4"/>
        <v>1125.8484533147982</v>
      </c>
      <c r="H62" s="33">
        <f t="shared" si="4"/>
        <v>1071.9145880235856</v>
      </c>
      <c r="I62" s="33">
        <f t="shared" si="4"/>
        <v>951.6034921833367</v>
      </c>
      <c r="J62" s="41">
        <v>2263.0000000000005</v>
      </c>
      <c r="K62" s="41">
        <v>1867.8747466278669</v>
      </c>
      <c r="L62" s="41">
        <v>1487.8553448017931</v>
      </c>
      <c r="M62" s="33">
        <f t="shared" si="5"/>
        <v>1.0297491388584314</v>
      </c>
      <c r="N62" s="33">
        <f t="shared" si="1"/>
        <v>1.0206637373318486</v>
      </c>
      <c r="O62" s="33">
        <f t="shared" si="2"/>
        <v>0.98705301391176037</v>
      </c>
      <c r="P62" s="33">
        <f t="shared" si="6"/>
        <v>0.49750263071798417</v>
      </c>
      <c r="Q62" s="33">
        <f t="shared" si="7"/>
        <v>0.48822566249204546</v>
      </c>
      <c r="R62" s="33">
        <f t="shared" si="8"/>
        <v>0.46222006154093348</v>
      </c>
      <c r="S62" s="41">
        <v>1</v>
      </c>
      <c r="T62" s="41">
        <v>0.86728417994136808</v>
      </c>
      <c r="U62" s="41">
        <v>0.74296049963054778</v>
      </c>
      <c r="V62" s="38">
        <v>2330.3223012366298</v>
      </c>
      <c r="W62" s="38">
        <v>2199.1881985466384</v>
      </c>
      <c r="X62" s="38">
        <v>1951.762597783536</v>
      </c>
      <c r="Y62" s="38">
        <v>1125.8484533147982</v>
      </c>
      <c r="Z62" s="38">
        <v>1054.4699941735435</v>
      </c>
      <c r="AA62" s="38">
        <v>924.58158174118341</v>
      </c>
      <c r="AB62" s="43"/>
      <c r="AC62" s="43"/>
      <c r="AD62" s="43"/>
      <c r="AE62" s="38">
        <v>1.0297491388584314</v>
      </c>
      <c r="AF62" s="38">
        <v>1.0040202078566736</v>
      </c>
      <c r="AG62" s="38">
        <v>0.96128522758456381</v>
      </c>
      <c r="AH62" s="38">
        <v>0.49750263071798417</v>
      </c>
      <c r="AI62" s="38">
        <v>0.47853422146424435</v>
      </c>
      <c r="AJ62" s="38">
        <v>0.44670310808084779</v>
      </c>
      <c r="AK62" s="44"/>
      <c r="AL62" s="44"/>
      <c r="AM62" s="44"/>
      <c r="AN62" s="39">
        <v>0</v>
      </c>
      <c r="AO62" s="39">
        <v>29.958353055314976</v>
      </c>
      <c r="AP62" s="39">
        <v>46.382015388953754</v>
      </c>
      <c r="AQ62" s="39">
        <v>0</v>
      </c>
      <c r="AR62" s="39">
        <v>17.444593850042004</v>
      </c>
      <c r="AS62" s="39">
        <v>27.02191044215332</v>
      </c>
      <c r="AT62" s="43"/>
      <c r="AU62" s="43"/>
      <c r="AV62" s="43"/>
      <c r="AW62" s="39">
        <v>0</v>
      </c>
      <c r="AX62" s="39">
        <v>1.6643529475174987E-2</v>
      </c>
      <c r="AY62" s="39">
        <v>2.5767786327196538E-2</v>
      </c>
      <c r="AZ62" s="39">
        <v>0</v>
      </c>
      <c r="BA62" s="39">
        <v>9.6914410278011107E-3</v>
      </c>
      <c r="BB62" s="39">
        <v>1.551695346008569E-2</v>
      </c>
      <c r="BC62" s="44"/>
      <c r="BD62" s="44"/>
      <c r="BE62" s="44"/>
      <c r="BG62" s="40">
        <v>7.3669341266063004E-3</v>
      </c>
      <c r="BH62" s="40">
        <v>7.4207324673496652E-3</v>
      </c>
    </row>
    <row r="63" spans="2:60">
      <c r="B63" s="34"/>
      <c r="C63" s="22">
        <v>60</v>
      </c>
      <c r="D63" s="33">
        <f t="shared" si="3"/>
        <v>1081.025229819471</v>
      </c>
      <c r="E63" s="33">
        <f t="shared" si="9"/>
        <v>1035.7127642728306</v>
      </c>
      <c r="F63" s="33">
        <f t="shared" si="10"/>
        <v>931.44492801265085</v>
      </c>
      <c r="G63" s="33">
        <f t="shared" si="4"/>
        <v>1624.0580906481357</v>
      </c>
      <c r="H63" s="33">
        <f t="shared" si="4"/>
        <v>1545.1385208087011</v>
      </c>
      <c r="I63" s="33">
        <f t="shared" si="4"/>
        <v>1369.4925335392736</v>
      </c>
      <c r="J63" s="41">
        <v>2263.0000000000005</v>
      </c>
      <c r="K63" s="41">
        <v>1867.8747466278669</v>
      </c>
      <c r="L63" s="41">
        <v>1487.8553448017931</v>
      </c>
      <c r="M63" s="33">
        <f t="shared" si="5"/>
        <v>0.47769563845314666</v>
      </c>
      <c r="N63" s="33">
        <f t="shared" si="1"/>
        <v>0.4735317359889134</v>
      </c>
      <c r="O63" s="33">
        <f t="shared" si="2"/>
        <v>0.45778865673442759</v>
      </c>
      <c r="P63" s="33">
        <f t="shared" si="6"/>
        <v>0.71765713241190265</v>
      </c>
      <c r="Q63" s="33">
        <f t="shared" si="7"/>
        <v>0.70309109354380073</v>
      </c>
      <c r="R63" s="33">
        <f t="shared" si="8"/>
        <v>0.66327473057662489</v>
      </c>
      <c r="S63" s="41">
        <v>1</v>
      </c>
      <c r="T63" s="41">
        <v>0.86728417994136808</v>
      </c>
      <c r="U63" s="41">
        <v>0.74296049963054778</v>
      </c>
      <c r="V63" s="38">
        <v>1081.025229819471</v>
      </c>
      <c r="W63" s="38">
        <v>1021.4312993639945</v>
      </c>
      <c r="X63" s="38">
        <v>909.21223355340521</v>
      </c>
      <c r="Y63" s="38">
        <v>1624.0580906481357</v>
      </c>
      <c r="Z63" s="38">
        <v>1519.9567584392403</v>
      </c>
      <c r="AA63" s="38">
        <v>1330.2803944188574</v>
      </c>
      <c r="AB63" s="43"/>
      <c r="AC63" s="43"/>
      <c r="AD63" s="43"/>
      <c r="AE63" s="38">
        <v>0.47769563845314666</v>
      </c>
      <c r="AF63" s="38">
        <v>0.46559758881733787</v>
      </c>
      <c r="AG63" s="38">
        <v>0.44543715981262444</v>
      </c>
      <c r="AH63" s="38">
        <v>0.71765713241190265</v>
      </c>
      <c r="AI63" s="38">
        <v>0.68910122556076692</v>
      </c>
      <c r="AJ63" s="38">
        <v>0.64075770909864915</v>
      </c>
      <c r="AK63" s="44"/>
      <c r="AL63" s="44"/>
      <c r="AM63" s="44"/>
      <c r="AN63" s="39">
        <v>0</v>
      </c>
      <c r="AO63" s="39">
        <v>14.281464908835925</v>
      </c>
      <c r="AP63" s="39">
        <v>22.232694459245675</v>
      </c>
      <c r="AQ63" s="39">
        <v>0</v>
      </c>
      <c r="AR63" s="39">
        <v>25.181762369460888</v>
      </c>
      <c r="AS63" s="39">
        <v>39.21213912041609</v>
      </c>
      <c r="AT63" s="43"/>
      <c r="AU63" s="43"/>
      <c r="AV63" s="43"/>
      <c r="AW63" s="39">
        <v>0</v>
      </c>
      <c r="AX63" s="39">
        <v>7.9341471715755167E-3</v>
      </c>
      <c r="AY63" s="39">
        <v>1.2351496921803155E-2</v>
      </c>
      <c r="AZ63" s="39">
        <v>0</v>
      </c>
      <c r="BA63" s="39">
        <v>1.3989867983033821E-2</v>
      </c>
      <c r="BB63" s="39">
        <v>2.2517021477975688E-2</v>
      </c>
      <c r="BC63" s="44"/>
      <c r="BD63" s="44"/>
      <c r="BE63" s="44"/>
      <c r="BG63" s="40">
        <v>7.5350270774965523E-3</v>
      </c>
      <c r="BH63" s="40">
        <v>7.5587433897039815E-3</v>
      </c>
    </row>
    <row r="64" spans="2:60">
      <c r="B64" s="34"/>
      <c r="C64" s="22">
        <v>61</v>
      </c>
      <c r="D64" s="33">
        <f t="shared" si="3"/>
        <v>1081.025229819471</v>
      </c>
      <c r="E64" s="33">
        <f t="shared" si="9"/>
        <v>1035.7127642728306</v>
      </c>
      <c r="F64" s="33">
        <f t="shared" si="10"/>
        <v>931.44492801265085</v>
      </c>
      <c r="G64" s="33">
        <f t="shared" si="4"/>
        <v>1624.0580906481357</v>
      </c>
      <c r="H64" s="33">
        <f t="shared" si="4"/>
        <v>1545.1385208087011</v>
      </c>
      <c r="I64" s="33">
        <f t="shared" si="4"/>
        <v>1369.4925335392736</v>
      </c>
      <c r="J64" s="41">
        <v>2263.0000000000005</v>
      </c>
      <c r="K64" s="41">
        <v>1867.8747466278669</v>
      </c>
      <c r="L64" s="41">
        <v>1487.8553448017931</v>
      </c>
      <c r="M64" s="33">
        <f t="shared" si="5"/>
        <v>0.47769563845314666</v>
      </c>
      <c r="N64" s="33">
        <f t="shared" si="1"/>
        <v>0.4735317359889134</v>
      </c>
      <c r="O64" s="33">
        <f t="shared" si="2"/>
        <v>0.45778865673442759</v>
      </c>
      <c r="P64" s="33">
        <f t="shared" si="6"/>
        <v>0.71765713241190265</v>
      </c>
      <c r="Q64" s="33">
        <f t="shared" si="7"/>
        <v>0.70309109354380073</v>
      </c>
      <c r="R64" s="33">
        <f t="shared" si="8"/>
        <v>0.66327473057662489</v>
      </c>
      <c r="S64" s="41">
        <v>1</v>
      </c>
      <c r="T64" s="41">
        <v>0.86728417994136808</v>
      </c>
      <c r="U64" s="41">
        <v>0.74296049963054778</v>
      </c>
      <c r="V64" s="38">
        <v>1081.025229819471</v>
      </c>
      <c r="W64" s="38">
        <v>1021.4312993639945</v>
      </c>
      <c r="X64" s="38">
        <v>909.21223355340521</v>
      </c>
      <c r="Y64" s="38">
        <v>1624.0580906481357</v>
      </c>
      <c r="Z64" s="38">
        <v>1519.9567584392403</v>
      </c>
      <c r="AA64" s="38">
        <v>1330.2803944188574</v>
      </c>
      <c r="AB64" s="43"/>
      <c r="AC64" s="43"/>
      <c r="AD64" s="43"/>
      <c r="AE64" s="38">
        <v>0.47769563845314666</v>
      </c>
      <c r="AF64" s="38">
        <v>0.46559758881733787</v>
      </c>
      <c r="AG64" s="38">
        <v>0.44543715981262444</v>
      </c>
      <c r="AH64" s="38">
        <v>0.71765713241190265</v>
      </c>
      <c r="AI64" s="38">
        <v>0.68910122556076692</v>
      </c>
      <c r="AJ64" s="38">
        <v>0.64075770909864915</v>
      </c>
      <c r="AK64" s="44"/>
      <c r="AL64" s="44"/>
      <c r="AM64" s="44"/>
      <c r="AN64" s="39">
        <v>0</v>
      </c>
      <c r="AO64" s="39">
        <v>14.281464908835925</v>
      </c>
      <c r="AP64" s="39">
        <v>22.232694459245675</v>
      </c>
      <c r="AQ64" s="39">
        <v>0</v>
      </c>
      <c r="AR64" s="39">
        <v>25.181762369460888</v>
      </c>
      <c r="AS64" s="39">
        <v>39.21213912041609</v>
      </c>
      <c r="AT64" s="43"/>
      <c r="AU64" s="43"/>
      <c r="AV64" s="43"/>
      <c r="AW64" s="39">
        <v>0</v>
      </c>
      <c r="AX64" s="39">
        <v>7.9341471715755167E-3</v>
      </c>
      <c r="AY64" s="39">
        <v>1.2351496921803155E-2</v>
      </c>
      <c r="AZ64" s="39">
        <v>0</v>
      </c>
      <c r="BA64" s="39">
        <v>1.3989867983033821E-2</v>
      </c>
      <c r="BB64" s="39">
        <v>2.2517021477975688E-2</v>
      </c>
      <c r="BC64" s="44"/>
      <c r="BD64" s="44"/>
      <c r="BE64" s="44"/>
      <c r="BG64" s="40">
        <v>7.5350270774965523E-3</v>
      </c>
      <c r="BH64" s="40">
        <v>7.5587433897039815E-3</v>
      </c>
    </row>
    <row r="65" spans="2:60">
      <c r="B65" s="34"/>
      <c r="C65" s="22">
        <v>63</v>
      </c>
      <c r="D65" s="33">
        <f t="shared" si="3"/>
        <v>2216.9219307665671</v>
      </c>
      <c r="E65" s="33">
        <f t="shared" si="9"/>
        <v>2123.3457004346355</v>
      </c>
      <c r="F65" s="33">
        <f t="shared" si="10"/>
        <v>1908.4111600866815</v>
      </c>
      <c r="G65" s="33">
        <f t="shared" si="4"/>
        <v>1366.9152966437191</v>
      </c>
      <c r="H65" s="33">
        <f t="shared" si="4"/>
        <v>1303.0824844529359</v>
      </c>
      <c r="I65" s="33">
        <f t="shared" si="4"/>
        <v>1160.1543993414812</v>
      </c>
      <c r="J65" s="41">
        <v>2263.0000000000005</v>
      </c>
      <c r="K65" s="41">
        <v>1867.8747466278669</v>
      </c>
      <c r="L65" s="41">
        <v>1487.8553448017931</v>
      </c>
      <c r="M65" s="33">
        <f t="shared" si="5"/>
        <v>0.97963850232725025</v>
      </c>
      <c r="N65" s="33">
        <f t="shared" si="1"/>
        <v>0.97147662493645248</v>
      </c>
      <c r="O65" s="33">
        <f t="shared" si="2"/>
        <v>0.94010460611983249</v>
      </c>
      <c r="P65" s="33">
        <f t="shared" si="6"/>
        <v>0.60402797023584576</v>
      </c>
      <c r="Q65" s="33">
        <f t="shared" si="7"/>
        <v>0.59287243208901752</v>
      </c>
      <c r="R65" s="33">
        <f t="shared" si="8"/>
        <v>0.56140961273698931</v>
      </c>
      <c r="S65" s="41">
        <v>1</v>
      </c>
      <c r="T65" s="41">
        <v>0.86728417994136808</v>
      </c>
      <c r="U65" s="41">
        <v>0.74296049963054778</v>
      </c>
      <c r="V65" s="38">
        <v>2216.9219307665671</v>
      </c>
      <c r="W65" s="38">
        <v>2094.2795003985352</v>
      </c>
      <c r="X65" s="38">
        <v>1863.256976187399</v>
      </c>
      <c r="Y65" s="38">
        <v>1366.9152966437191</v>
      </c>
      <c r="Z65" s="38">
        <v>1281.6851856459016</v>
      </c>
      <c r="AA65" s="38">
        <v>1126.8967585472947</v>
      </c>
      <c r="AB65" s="43"/>
      <c r="AC65" s="43"/>
      <c r="AD65" s="43"/>
      <c r="AE65" s="38">
        <v>0.97963850232725025</v>
      </c>
      <c r="AF65" s="38">
        <v>0.95532873602750779</v>
      </c>
      <c r="AG65" s="38">
        <v>0.9150189483980089</v>
      </c>
      <c r="AH65" s="38">
        <v>0.60402797023584576</v>
      </c>
      <c r="AI65" s="38">
        <v>0.58098504386288741</v>
      </c>
      <c r="AJ65" s="38">
        <v>0.54231187849275886</v>
      </c>
      <c r="AK65" s="44"/>
      <c r="AL65" s="44"/>
      <c r="AM65" s="44"/>
      <c r="AN65" s="39">
        <v>0</v>
      </c>
      <c r="AO65" s="39">
        <v>29.066200036100508</v>
      </c>
      <c r="AP65" s="39">
        <v>45.154183899282501</v>
      </c>
      <c r="AQ65" s="39">
        <v>0</v>
      </c>
      <c r="AR65" s="39">
        <v>21.397298807034257</v>
      </c>
      <c r="AS65" s="39">
        <v>33.257640794186585</v>
      </c>
      <c r="AT65" s="43"/>
      <c r="AU65" s="43"/>
      <c r="AV65" s="43"/>
      <c r="AW65" s="39">
        <v>0</v>
      </c>
      <c r="AX65" s="39">
        <v>1.6147888908944731E-2</v>
      </c>
      <c r="AY65" s="39">
        <v>2.5085657721823619E-2</v>
      </c>
      <c r="AZ65" s="39">
        <v>0</v>
      </c>
      <c r="BA65" s="39">
        <v>1.1887388226130139E-2</v>
      </c>
      <c r="BB65" s="39">
        <v>1.9097734244230474E-2</v>
      </c>
      <c r="BC65" s="44"/>
      <c r="BD65" s="44"/>
      <c r="BE65" s="44"/>
      <c r="BG65" s="40">
        <v>7.4853005857472843E-3</v>
      </c>
      <c r="BH65" s="40">
        <v>7.5399492402421888E-3</v>
      </c>
    </row>
    <row r="66" spans="2:60">
      <c r="B66" s="34"/>
      <c r="C66" s="22">
        <v>64</v>
      </c>
      <c r="D66" s="33">
        <f t="shared" si="3"/>
        <v>1480.8627809493753</v>
      </c>
      <c r="E66" s="33">
        <f t="shared" si="9"/>
        <v>1418.2205441408205</v>
      </c>
      <c r="F66" s="33">
        <f t="shared" si="10"/>
        <v>1274.2324074056073</v>
      </c>
      <c r="G66" s="33">
        <f t="shared" si="4"/>
        <v>785.91908746128865</v>
      </c>
      <c r="H66" s="33">
        <f t="shared" si="4"/>
        <v>749.46335595317703</v>
      </c>
      <c r="I66" s="33">
        <f t="shared" si="4"/>
        <v>667.65177694486329</v>
      </c>
      <c r="J66" s="41">
        <v>2263.0000000000005</v>
      </c>
      <c r="K66" s="41">
        <v>1867.8747466278669</v>
      </c>
      <c r="L66" s="41">
        <v>1487.8553448017931</v>
      </c>
      <c r="M66" s="33">
        <f t="shared" si="5"/>
        <v>0.65438037160820817</v>
      </c>
      <c r="N66" s="33">
        <f t="shared" si="1"/>
        <v>0.64876733341412751</v>
      </c>
      <c r="O66" s="33">
        <f t="shared" si="2"/>
        <v>0.62740253850142436</v>
      </c>
      <c r="P66" s="33">
        <f t="shared" si="6"/>
        <v>0.34729080312032196</v>
      </c>
      <c r="Q66" s="33">
        <f t="shared" si="7"/>
        <v>0.34078402796538321</v>
      </c>
      <c r="R66" s="33">
        <f t="shared" si="8"/>
        <v>0.32243526038197312</v>
      </c>
      <c r="S66" s="41">
        <v>1</v>
      </c>
      <c r="T66" s="41">
        <v>0.86728417994136808</v>
      </c>
      <c r="U66" s="41">
        <v>0.74296049963054778</v>
      </c>
      <c r="V66" s="38">
        <v>1480.8627809493753</v>
      </c>
      <c r="W66" s="38">
        <v>1398.6870161921563</v>
      </c>
      <c r="X66" s="38">
        <v>1243.8455385677535</v>
      </c>
      <c r="Y66" s="38">
        <v>785.91908746128865</v>
      </c>
      <c r="Z66" s="38">
        <v>737.05315192503667</v>
      </c>
      <c r="AA66" s="38">
        <v>648.33624705302827</v>
      </c>
      <c r="AB66" s="43"/>
      <c r="AC66" s="43"/>
      <c r="AD66" s="43"/>
      <c r="AE66" s="38">
        <v>0.65438037160820817</v>
      </c>
      <c r="AF66" s="38">
        <v>0.63791537344264748</v>
      </c>
      <c r="AG66" s="38">
        <v>0.61052094470261664</v>
      </c>
      <c r="AH66" s="38">
        <v>0.34729080312032196</v>
      </c>
      <c r="AI66" s="38">
        <v>0.3338894701719719</v>
      </c>
      <c r="AJ66" s="38">
        <v>0.31134358797671835</v>
      </c>
      <c r="AK66" s="44"/>
      <c r="AL66" s="44"/>
      <c r="AM66" s="44"/>
      <c r="AN66" s="39">
        <v>0</v>
      </c>
      <c r="AO66" s="39">
        <v>19.53352794866413</v>
      </c>
      <c r="AP66" s="39">
        <v>30.386868837853786</v>
      </c>
      <c r="AQ66" s="39">
        <v>0</v>
      </c>
      <c r="AR66" s="39">
        <v>12.410204028140356</v>
      </c>
      <c r="AS66" s="39">
        <v>19.315529891834974</v>
      </c>
      <c r="AT66" s="43"/>
      <c r="AU66" s="43"/>
      <c r="AV66" s="43"/>
      <c r="AW66" s="39">
        <v>0</v>
      </c>
      <c r="AX66" s="39">
        <v>1.0851959971480075E-2</v>
      </c>
      <c r="AY66" s="39">
        <v>1.6881593798807659E-2</v>
      </c>
      <c r="AZ66" s="39">
        <v>0</v>
      </c>
      <c r="BA66" s="39">
        <v>6.8945577934113079E-3</v>
      </c>
      <c r="BB66" s="39">
        <v>1.1091672405254754E-2</v>
      </c>
      <c r="BC66" s="44"/>
      <c r="BD66" s="44"/>
      <c r="BE66" s="44"/>
      <c r="BG66" s="40">
        <v>7.5230258507685572E-3</v>
      </c>
      <c r="BH66" s="40">
        <v>7.5779442477189856E-3</v>
      </c>
    </row>
    <row r="67" spans="2:60">
      <c r="B67" s="34"/>
      <c r="C67" s="22">
        <v>65</v>
      </c>
      <c r="D67" s="33">
        <f t="shared" si="3"/>
        <v>1684.5980450615216</v>
      </c>
      <c r="E67" s="33">
        <f t="shared" si="9"/>
        <v>1614.9542261874847</v>
      </c>
      <c r="F67" s="33">
        <f t="shared" si="10"/>
        <v>1454.6277412581501</v>
      </c>
      <c r="G67" s="33">
        <f t="shared" si="4"/>
        <v>1419.2568996715443</v>
      </c>
      <c r="H67" s="33">
        <f t="shared" si="4"/>
        <v>1353.7030102173669</v>
      </c>
      <c r="I67" s="33">
        <f t="shared" si="4"/>
        <v>1206.710929710986</v>
      </c>
      <c r="J67" s="41">
        <v>2263.0000000000005</v>
      </c>
      <c r="K67" s="41">
        <v>1867.8747466278669</v>
      </c>
      <c r="L67" s="41">
        <v>1487.8553448017931</v>
      </c>
      <c r="M67" s="33">
        <f t="shared" si="5"/>
        <v>0.74440921125122483</v>
      </c>
      <c r="N67" s="33">
        <f t="shared" si="1"/>
        <v>0.73877815857554563</v>
      </c>
      <c r="O67" s="33">
        <f t="shared" si="2"/>
        <v>0.71610505712078132</v>
      </c>
      <c r="P67" s="33">
        <f t="shared" si="6"/>
        <v>0.62715726896665658</v>
      </c>
      <c r="Q67" s="33">
        <f t="shared" si="7"/>
        <v>0.61578322110780448</v>
      </c>
      <c r="R67" s="33">
        <f t="shared" si="8"/>
        <v>0.58350967989970326</v>
      </c>
      <c r="S67" s="41">
        <v>1</v>
      </c>
      <c r="T67" s="41">
        <v>0.86728417994136808</v>
      </c>
      <c r="U67" s="41">
        <v>0.74296049963054778</v>
      </c>
      <c r="V67" s="38">
        <v>1684.5980450615216</v>
      </c>
      <c r="W67" s="38">
        <v>1592.8028896401424</v>
      </c>
      <c r="X67" s="38">
        <v>1420.1441348523495</v>
      </c>
      <c r="Y67" s="38">
        <v>1419.2568996715443</v>
      </c>
      <c r="Z67" s="38">
        <v>1331.3959158101814</v>
      </c>
      <c r="AA67" s="38">
        <v>1171.9670722821186</v>
      </c>
      <c r="AB67" s="43"/>
      <c r="AC67" s="43"/>
      <c r="AD67" s="43"/>
      <c r="AE67" s="38">
        <v>0.74440921125122483</v>
      </c>
      <c r="AF67" s="38">
        <v>0.72647186049368884</v>
      </c>
      <c r="AG67" s="38">
        <v>0.69694749800644762</v>
      </c>
      <c r="AH67" s="38">
        <v>0.62715726896665658</v>
      </c>
      <c r="AI67" s="38">
        <v>0.6033903908815903</v>
      </c>
      <c r="AJ67" s="38">
        <v>0.56355850657679185</v>
      </c>
      <c r="AK67" s="44"/>
      <c r="AL67" s="44"/>
      <c r="AM67" s="44"/>
      <c r="AN67" s="39">
        <v>0</v>
      </c>
      <c r="AO67" s="39">
        <v>22.151336547342222</v>
      </c>
      <c r="AP67" s="39">
        <v>34.483606405800636</v>
      </c>
      <c r="AQ67" s="39">
        <v>0</v>
      </c>
      <c r="AR67" s="39">
        <v>22.307094407185613</v>
      </c>
      <c r="AS67" s="39">
        <v>34.743857428867479</v>
      </c>
      <c r="AT67" s="43"/>
      <c r="AU67" s="43"/>
      <c r="AV67" s="43"/>
      <c r="AW67" s="39">
        <v>0</v>
      </c>
      <c r="AX67" s="39">
        <v>1.2306298081856791E-2</v>
      </c>
      <c r="AY67" s="39">
        <v>1.9157559114333689E-2</v>
      </c>
      <c r="AZ67" s="39">
        <v>0</v>
      </c>
      <c r="BA67" s="39">
        <v>1.2392830226214227E-2</v>
      </c>
      <c r="BB67" s="39">
        <v>1.9951173322911353E-2</v>
      </c>
      <c r="BC67" s="44"/>
      <c r="BD67" s="44"/>
      <c r="BE67" s="44"/>
      <c r="BG67" s="40">
        <v>7.5459085098233429E-3</v>
      </c>
      <c r="BH67" s="40">
        <v>7.6009910126927389E-3</v>
      </c>
    </row>
    <row r="68" spans="2:60">
      <c r="B68" s="34"/>
      <c r="C68" s="22">
        <v>66</v>
      </c>
      <c r="D68" s="33">
        <f t="shared" si="3"/>
        <v>3489.718764209696</v>
      </c>
      <c r="E68" s="33">
        <f t="shared" si="9"/>
        <v>3338.4903047794819</v>
      </c>
      <c r="F68" s="33">
        <f t="shared" si="10"/>
        <v>2993.8807836848036</v>
      </c>
      <c r="G68" s="33">
        <f t="shared" si="4"/>
        <v>997.69563416712003</v>
      </c>
      <c r="H68" s="33">
        <f t="shared" si="4"/>
        <v>949.65190176908573</v>
      </c>
      <c r="I68" s="33">
        <f t="shared" si="4"/>
        <v>842.84497249939545</v>
      </c>
      <c r="J68" s="41">
        <v>2263.0000000000005</v>
      </c>
      <c r="K68" s="41">
        <v>1867.8747466278669</v>
      </c>
      <c r="L68" s="41">
        <v>1487.8553448017931</v>
      </c>
      <c r="M68" s="33">
        <f t="shared" si="5"/>
        <v>1.5420763430003075</v>
      </c>
      <c r="N68" s="33">
        <f t="shared" si="1"/>
        <v>1.5281773260438114</v>
      </c>
      <c r="O68" s="33">
        <f t="shared" si="2"/>
        <v>1.477645194329152</v>
      </c>
      <c r="P68" s="33">
        <f t="shared" si="6"/>
        <v>0.44087301554004421</v>
      </c>
      <c r="Q68" s="33">
        <f t="shared" si="7"/>
        <v>0.43273424802987481</v>
      </c>
      <c r="R68" s="33">
        <f t="shared" si="8"/>
        <v>0.41002372240855051</v>
      </c>
      <c r="S68" s="41">
        <v>1</v>
      </c>
      <c r="T68" s="41">
        <v>0.86728417994136808</v>
      </c>
      <c r="U68" s="41">
        <v>0.74296049963054778</v>
      </c>
      <c r="V68" s="38">
        <v>3489.718764209696</v>
      </c>
      <c r="W68" s="38">
        <v>3294.1852533136121</v>
      </c>
      <c r="X68" s="38">
        <v>2925.4016524552476</v>
      </c>
      <c r="Y68" s="38">
        <v>997.69563416712003</v>
      </c>
      <c r="Z68" s="38">
        <v>934.43185507117801</v>
      </c>
      <c r="AA68" s="38">
        <v>819.30831094849168</v>
      </c>
      <c r="AB68" s="43"/>
      <c r="AC68" s="43"/>
      <c r="AD68" s="43"/>
      <c r="AE68" s="38">
        <v>1.5420763430003075</v>
      </c>
      <c r="AF68" s="38">
        <v>1.5035634085627727</v>
      </c>
      <c r="AG68" s="38">
        <v>1.4396012325349543</v>
      </c>
      <c r="AH68" s="38">
        <v>0.44087301554004421</v>
      </c>
      <c r="AI68" s="38">
        <v>0.42427866653103719</v>
      </c>
      <c r="AJ68" s="38">
        <v>0.39650812429149679</v>
      </c>
      <c r="AK68" s="44"/>
      <c r="AL68" s="44"/>
      <c r="AM68" s="44"/>
      <c r="AN68" s="39">
        <v>0</v>
      </c>
      <c r="AO68" s="39">
        <v>44.305051465869823</v>
      </c>
      <c r="AP68" s="39">
        <v>68.479131229555918</v>
      </c>
      <c r="AQ68" s="39">
        <v>0</v>
      </c>
      <c r="AR68" s="39">
        <v>15.220046697907703</v>
      </c>
      <c r="AS68" s="39">
        <v>23.536661550903716</v>
      </c>
      <c r="AT68" s="43"/>
      <c r="AU68" s="43"/>
      <c r="AV68" s="43"/>
      <c r="AW68" s="39">
        <v>0</v>
      </c>
      <c r="AX68" s="39">
        <v>2.4613917481038795E-2</v>
      </c>
      <c r="AY68" s="39">
        <v>3.8043961794197743E-2</v>
      </c>
      <c r="AZ68" s="39">
        <v>0</v>
      </c>
      <c r="BA68" s="39">
        <v>8.4555814988376103E-3</v>
      </c>
      <c r="BB68" s="39">
        <v>1.35155981170537E-2</v>
      </c>
      <c r="BC68" s="44"/>
      <c r="BD68" s="44"/>
      <c r="BE68" s="44"/>
      <c r="BG68" s="40">
        <v>7.315741075670114E-3</v>
      </c>
      <c r="BH68" s="40">
        <v>7.3691723587188925E-3</v>
      </c>
    </row>
    <row r="69" spans="2:60">
      <c r="B69" s="34"/>
      <c r="C69" s="22">
        <v>67</v>
      </c>
      <c r="D69" s="33">
        <f t="shared" si="3"/>
        <v>2231.5173599389327</v>
      </c>
      <c r="E69" s="33">
        <f t="shared" si="9"/>
        <v>2139.3133682669031</v>
      </c>
      <c r="F69" s="33">
        <f t="shared" si="10"/>
        <v>1927.7891960718539</v>
      </c>
      <c r="G69" s="33">
        <f t="shared" si="4"/>
        <v>1098.232239499172</v>
      </c>
      <c r="H69" s="33">
        <f t="shared" si="4"/>
        <v>1046.6432567963118</v>
      </c>
      <c r="I69" s="33">
        <f t="shared" si="4"/>
        <v>931.55174128999602</v>
      </c>
      <c r="J69" s="41">
        <v>2263.0000000000005</v>
      </c>
      <c r="K69" s="41">
        <v>1867.8747466278669</v>
      </c>
      <c r="L69" s="41">
        <v>1487.8553448017931</v>
      </c>
      <c r="M69" s="33">
        <f t="shared" si="5"/>
        <v>0.98608809542153475</v>
      </c>
      <c r="N69" s="33">
        <f t="shared" si="1"/>
        <v>0.97813529339824179</v>
      </c>
      <c r="O69" s="33">
        <f t="shared" si="2"/>
        <v>0.94749741689865841</v>
      </c>
      <c r="P69" s="33">
        <f t="shared" si="6"/>
        <v>0.48529926623913927</v>
      </c>
      <c r="Q69" s="33">
        <f t="shared" si="7"/>
        <v>0.4764702877202886</v>
      </c>
      <c r="R69" s="33">
        <f t="shared" si="8"/>
        <v>0.45165559078507678</v>
      </c>
      <c r="S69" s="41">
        <v>1</v>
      </c>
      <c r="T69" s="41">
        <v>0.86728417994136808</v>
      </c>
      <c r="U69" s="41">
        <v>0.74296049963054778</v>
      </c>
      <c r="V69" s="38">
        <v>2231.5173599389327</v>
      </c>
      <c r="W69" s="38">
        <v>2110.5482728578122</v>
      </c>
      <c r="X69" s="38">
        <v>1883.1324990218213</v>
      </c>
      <c r="Y69" s="38">
        <v>1098.232239499172</v>
      </c>
      <c r="Z69" s="38">
        <v>1029.7058989273219</v>
      </c>
      <c r="AA69" s="38">
        <v>905.24365008478867</v>
      </c>
      <c r="AB69" s="43"/>
      <c r="AC69" s="43"/>
      <c r="AD69" s="43"/>
      <c r="AE69" s="38">
        <v>0.98608809542153475</v>
      </c>
      <c r="AF69" s="38">
        <v>0.96215468483763567</v>
      </c>
      <c r="AG69" s="38">
        <v>0.92268814075975147</v>
      </c>
      <c r="AH69" s="38">
        <v>0.48529926623913927</v>
      </c>
      <c r="AI69" s="38">
        <v>0.46706064445973866</v>
      </c>
      <c r="AJ69" s="38">
        <v>0.43654853802029225</v>
      </c>
      <c r="AK69" s="44"/>
      <c r="AL69" s="44"/>
      <c r="AM69" s="44"/>
      <c r="AN69" s="39">
        <v>0</v>
      </c>
      <c r="AO69" s="39">
        <v>28.765095409090943</v>
      </c>
      <c r="AP69" s="39">
        <v>44.656697050032562</v>
      </c>
      <c r="AQ69" s="39">
        <v>0</v>
      </c>
      <c r="AR69" s="39">
        <v>16.937357868989885</v>
      </c>
      <c r="AS69" s="39">
        <v>26.30809120520739</v>
      </c>
      <c r="AT69" s="43"/>
      <c r="AU69" s="43"/>
      <c r="AV69" s="43"/>
      <c r="AW69" s="39">
        <v>0</v>
      </c>
      <c r="AX69" s="39">
        <v>1.5980608560606086E-2</v>
      </c>
      <c r="AY69" s="39">
        <v>2.4809276138906978E-2</v>
      </c>
      <c r="AZ69" s="39">
        <v>0</v>
      </c>
      <c r="BA69" s="39">
        <v>9.4096432605499328E-3</v>
      </c>
      <c r="BB69" s="39">
        <v>1.5107052764784542E-2</v>
      </c>
      <c r="BC69" s="44"/>
      <c r="BD69" s="44"/>
      <c r="BE69" s="44"/>
      <c r="BG69" s="40">
        <v>7.4526079323636168E-3</v>
      </c>
      <c r="BH69" s="40">
        <v>7.5070206395361329E-3</v>
      </c>
    </row>
    <row r="70" spans="2:60">
      <c r="B70" s="34"/>
      <c r="C70" s="22">
        <v>68</v>
      </c>
      <c r="D70" s="33">
        <f t="shared" si="3"/>
        <v>823.98342497747092</v>
      </c>
      <c r="E70" s="33">
        <f t="shared" si="9"/>
        <v>788.11468433444679</v>
      </c>
      <c r="F70" s="33">
        <f t="shared" si="10"/>
        <v>706.16348606163683</v>
      </c>
      <c r="G70" s="33">
        <f t="shared" si="4"/>
        <v>934.06913803797795</v>
      </c>
      <c r="H70" s="33">
        <f t="shared" si="4"/>
        <v>888.35075339274965</v>
      </c>
      <c r="I70" s="33">
        <f t="shared" si="4"/>
        <v>786.67032249575414</v>
      </c>
      <c r="J70" s="41">
        <v>2263.0000000000005</v>
      </c>
      <c r="K70" s="41">
        <v>1867.8747466278669</v>
      </c>
      <c r="L70" s="41">
        <v>1487.8553448017931</v>
      </c>
      <c r="M70" s="33">
        <f t="shared" si="5"/>
        <v>0.36411110250882495</v>
      </c>
      <c r="N70" s="33">
        <f t="shared" ref="N70:N101" si="11">AF70+$A$5*AX70</f>
        <v>0.36073115847575526</v>
      </c>
      <c r="O70" s="33">
        <f t="shared" ref="O70:O101" si="12">AG70+$A$5*AY70</f>
        <v>0.34845790347149169</v>
      </c>
      <c r="P70" s="33">
        <f t="shared" si="6"/>
        <v>0.41275702078567283</v>
      </c>
      <c r="Q70" s="33">
        <f t="shared" si="7"/>
        <v>0.40454308777065084</v>
      </c>
      <c r="R70" s="33">
        <f t="shared" si="8"/>
        <v>0.38197890989136818</v>
      </c>
      <c r="S70" s="41">
        <v>1</v>
      </c>
      <c r="T70" s="41">
        <v>0.86728417994136808</v>
      </c>
      <c r="U70" s="41">
        <v>0.74296049963054778</v>
      </c>
      <c r="V70" s="38">
        <v>823.98342497747092</v>
      </c>
      <c r="W70" s="38">
        <v>777.43226747943277</v>
      </c>
      <c r="X70" s="38">
        <v>689.56582779649659</v>
      </c>
      <c r="Y70" s="38">
        <v>934.06913803797795</v>
      </c>
      <c r="Z70" s="38">
        <v>873.89922419796494</v>
      </c>
      <c r="AA70" s="38">
        <v>764.20494013451537</v>
      </c>
      <c r="AB70" s="43"/>
      <c r="AC70" s="43"/>
      <c r="AD70" s="43"/>
      <c r="AE70" s="38">
        <v>0.36411110250882495</v>
      </c>
      <c r="AF70" s="38">
        <v>0.35479648244519191</v>
      </c>
      <c r="AG70" s="38">
        <v>0.33923698221308046</v>
      </c>
      <c r="AH70" s="38">
        <v>0.41275702078567283</v>
      </c>
      <c r="AI70" s="38">
        <v>0.39651446044021488</v>
      </c>
      <c r="AJ70" s="38">
        <v>0.36907847883899608</v>
      </c>
      <c r="AK70" s="44"/>
      <c r="AL70" s="44"/>
      <c r="AM70" s="44"/>
      <c r="AN70" s="39">
        <v>0</v>
      </c>
      <c r="AO70" s="39">
        <v>10.682416855014017</v>
      </c>
      <c r="AP70" s="39">
        <v>16.597658265140229</v>
      </c>
      <c r="AQ70" s="39">
        <v>0</v>
      </c>
      <c r="AR70" s="39">
        <v>14.451529194784706</v>
      </c>
      <c r="AS70" s="39">
        <v>22.465382361238802</v>
      </c>
      <c r="AT70" s="43"/>
      <c r="AU70" s="43"/>
      <c r="AV70" s="43"/>
      <c r="AW70" s="39">
        <v>0</v>
      </c>
      <c r="AX70" s="39">
        <v>5.9346760305633425E-3</v>
      </c>
      <c r="AY70" s="39">
        <v>9.2209212584112386E-3</v>
      </c>
      <c r="AZ70" s="39">
        <v>0</v>
      </c>
      <c r="BA70" s="39">
        <v>8.0286273304359442E-3</v>
      </c>
      <c r="BB70" s="39">
        <v>1.2900431052372093E-2</v>
      </c>
      <c r="BC70" s="44"/>
      <c r="BD70" s="44"/>
      <c r="BE70" s="44"/>
      <c r="BG70" s="40">
        <v>7.488342728991999E-3</v>
      </c>
      <c r="BH70" s="40">
        <v>7.5430129514013318E-3</v>
      </c>
    </row>
    <row r="71" spans="2:60">
      <c r="B71" s="34"/>
      <c r="C71" s="22">
        <v>69</v>
      </c>
      <c r="D71" s="33">
        <f t="shared" ref="D71:D101" si="13">V71+$A$5*AN71</f>
        <v>708.096575191071</v>
      </c>
      <c r="E71" s="33">
        <f t="shared" si="9"/>
        <v>677.87936528749719</v>
      </c>
      <c r="F71" s="33">
        <f t="shared" si="10"/>
        <v>608.60374408833741</v>
      </c>
      <c r="G71" s="33">
        <f t="shared" ref="G71:I101" si="14">Y71+$A$7*AQ71</f>
        <v>609.83412163160449</v>
      </c>
      <c r="H71" s="33">
        <f t="shared" si="14"/>
        <v>581.52458003963989</v>
      </c>
      <c r="I71" s="33">
        <f t="shared" si="14"/>
        <v>518.14679381066196</v>
      </c>
      <c r="J71" s="41">
        <v>2263.0000000000005</v>
      </c>
      <c r="K71" s="41">
        <v>1867.8747466278669</v>
      </c>
      <c r="L71" s="41">
        <v>1487.8553448017931</v>
      </c>
      <c r="M71" s="33">
        <f t="shared" ref="M71:M101" si="15">AE71+$A$5*AW71</f>
        <v>0.31290171241319975</v>
      </c>
      <c r="N71" s="33">
        <f t="shared" si="11"/>
        <v>0.31026963083183901</v>
      </c>
      <c r="O71" s="33">
        <f t="shared" si="12"/>
        <v>0.30022762781833184</v>
      </c>
      <c r="P71" s="33">
        <f t="shared" ref="P71:P101" si="16">AH71+$A$7*AZ71</f>
        <v>0.26948038958533121</v>
      </c>
      <c r="Q71" s="33">
        <f t="shared" ref="Q71:Q101" si="17">AI71+$A$7*BA71</f>
        <v>0.26451408531775833</v>
      </c>
      <c r="R71" s="33">
        <f t="shared" ref="R71:R101" si="18">AJ71+$A$7*BB71</f>
        <v>0.2505232535123556</v>
      </c>
      <c r="S71" s="41">
        <v>1</v>
      </c>
      <c r="T71" s="41">
        <v>0.86728417994136808</v>
      </c>
      <c r="U71" s="41">
        <v>0.74296049963054778</v>
      </c>
      <c r="V71" s="38">
        <v>708.096575191071</v>
      </c>
      <c r="W71" s="38">
        <v>668.62563776271509</v>
      </c>
      <c r="X71" s="38">
        <v>594.21912518649037</v>
      </c>
      <c r="Y71" s="38">
        <v>609.83412163160449</v>
      </c>
      <c r="Z71" s="38">
        <v>572.00233786577189</v>
      </c>
      <c r="AA71" s="38">
        <v>503.33718853271216</v>
      </c>
      <c r="AB71" s="43"/>
      <c r="AC71" s="43"/>
      <c r="AD71" s="43"/>
      <c r="AE71" s="38">
        <v>0.31290171241319975</v>
      </c>
      <c r="AF71" s="38">
        <v>0.30512867109584896</v>
      </c>
      <c r="AG71" s="38">
        <v>0.2922361728728613</v>
      </c>
      <c r="AH71" s="38">
        <v>0.26948038958533121</v>
      </c>
      <c r="AI71" s="38">
        <v>0.2592239507767205</v>
      </c>
      <c r="AJ71" s="38">
        <v>0.24201904518289175</v>
      </c>
      <c r="AK71" s="44"/>
      <c r="AL71" s="44"/>
      <c r="AM71" s="44"/>
      <c r="AN71" s="39">
        <v>0</v>
      </c>
      <c r="AO71" s="39">
        <v>9.2537275247820983</v>
      </c>
      <c r="AP71" s="39">
        <v>14.384618901846979</v>
      </c>
      <c r="AQ71" s="39">
        <v>0</v>
      </c>
      <c r="AR71" s="39">
        <v>9.5222421738680438</v>
      </c>
      <c r="AS71" s="39">
        <v>14.809605277949768</v>
      </c>
      <c r="AT71" s="43"/>
      <c r="AU71" s="43"/>
      <c r="AV71" s="43"/>
      <c r="AW71" s="39">
        <v>0</v>
      </c>
      <c r="AX71" s="39">
        <v>5.1409597359900559E-3</v>
      </c>
      <c r="AY71" s="39">
        <v>7.9914549454705476E-3</v>
      </c>
      <c r="AZ71" s="39">
        <v>0</v>
      </c>
      <c r="BA71" s="39">
        <v>5.2901345410378007E-3</v>
      </c>
      <c r="BB71" s="39">
        <v>8.5042083294638304E-3</v>
      </c>
      <c r="BC71" s="44"/>
      <c r="BD71" s="44"/>
      <c r="BE71" s="44"/>
      <c r="BG71" s="40">
        <v>7.5117610550820115E-3</v>
      </c>
      <c r="BH71" s="40">
        <v>7.5666003002351793E-3</v>
      </c>
    </row>
    <row r="72" spans="2:60">
      <c r="B72" s="34"/>
      <c r="C72" s="22">
        <v>70</v>
      </c>
      <c r="D72" s="33">
        <f t="shared" si="13"/>
        <v>2146.4709939472732</v>
      </c>
      <c r="E72" s="33">
        <f t="shared" si="9"/>
        <v>2053.9439806202222</v>
      </c>
      <c r="F72" s="33">
        <f t="shared" si="10"/>
        <v>1842.0865156326568</v>
      </c>
      <c r="G72" s="33">
        <f t="shared" si="14"/>
        <v>2668.2367218995987</v>
      </c>
      <c r="H72" s="33">
        <f t="shared" si="14"/>
        <v>2540.019245938553</v>
      </c>
      <c r="I72" s="33">
        <f t="shared" si="14"/>
        <v>2254.2432065719086</v>
      </c>
      <c r="J72" s="41">
        <v>2263.0000000000005</v>
      </c>
      <c r="K72" s="41">
        <v>1867.8747466278669</v>
      </c>
      <c r="L72" s="41">
        <v>1487.8553448017931</v>
      </c>
      <c r="M72" s="33">
        <f t="shared" si="15"/>
        <v>0.94850684664042118</v>
      </c>
      <c r="N72" s="33">
        <f t="shared" si="11"/>
        <v>0.94032186250035721</v>
      </c>
      <c r="O72" s="33">
        <f t="shared" si="12"/>
        <v>0.90948791947547791</v>
      </c>
      <c r="P72" s="33">
        <f t="shared" si="16"/>
        <v>1.1790705797170122</v>
      </c>
      <c r="Q72" s="33">
        <f t="shared" si="17"/>
        <v>1.1561214220080562</v>
      </c>
      <c r="R72" s="33">
        <f t="shared" si="18"/>
        <v>1.0926293916029779</v>
      </c>
      <c r="S72" s="41">
        <v>1</v>
      </c>
      <c r="T72" s="41">
        <v>0.86728417994136808</v>
      </c>
      <c r="U72" s="41">
        <v>0.74296049963054778</v>
      </c>
      <c r="V72" s="38">
        <v>2146.4709939472732</v>
      </c>
      <c r="W72" s="38">
        <v>2025.915752440816</v>
      </c>
      <c r="X72" s="38">
        <v>1798.4924964371012</v>
      </c>
      <c r="Y72" s="38">
        <v>2668.2367218995987</v>
      </c>
      <c r="Z72" s="38">
        <v>2498.5770383887643</v>
      </c>
      <c r="AA72" s="38">
        <v>2189.7415375438732</v>
      </c>
      <c r="AB72" s="43"/>
      <c r="AC72" s="43"/>
      <c r="AD72" s="43"/>
      <c r="AE72" s="38">
        <v>0.94850684664042118</v>
      </c>
      <c r="AF72" s="38">
        <v>0.92475062462290936</v>
      </c>
      <c r="AG72" s="38">
        <v>0.88526901992239149</v>
      </c>
      <c r="AH72" s="38">
        <v>1.1790705797170122</v>
      </c>
      <c r="AI72" s="38">
        <v>1.1330979733692847</v>
      </c>
      <c r="AJ72" s="38">
        <v>1.0555902119140188</v>
      </c>
      <c r="AK72" s="44"/>
      <c r="AL72" s="44"/>
      <c r="AM72" s="44"/>
      <c r="AN72" s="39">
        <v>0</v>
      </c>
      <c r="AO72" s="39">
        <v>28.028228179406039</v>
      </c>
      <c r="AP72" s="39">
        <v>43.594019195555532</v>
      </c>
      <c r="AQ72" s="39">
        <v>0</v>
      </c>
      <c r="AR72" s="39">
        <v>41.44220754978857</v>
      </c>
      <c r="AS72" s="39">
        <v>64.501669028035295</v>
      </c>
      <c r="AT72" s="43"/>
      <c r="AU72" s="43"/>
      <c r="AV72" s="43"/>
      <c r="AW72" s="39">
        <v>0</v>
      </c>
      <c r="AX72" s="39">
        <v>1.5571237877447802E-2</v>
      </c>
      <c r="AY72" s="39">
        <v>2.4218899553086409E-2</v>
      </c>
      <c r="AZ72" s="39">
        <v>0</v>
      </c>
      <c r="BA72" s="39">
        <v>2.3023448638771423E-2</v>
      </c>
      <c r="BB72" s="39">
        <v>3.7039179688958986E-2</v>
      </c>
      <c r="BC72" s="44"/>
      <c r="BD72" s="44"/>
      <c r="BE72" s="44"/>
      <c r="BG72" s="40">
        <v>7.5278774643178824E-3</v>
      </c>
      <c r="BH72" s="40">
        <v>7.5865956133871178E-3</v>
      </c>
    </row>
    <row r="73" spans="2:60">
      <c r="B73" s="34"/>
      <c r="C73" s="22">
        <v>71</v>
      </c>
      <c r="D73" s="33">
        <f t="shared" si="13"/>
        <v>2146.4709939472732</v>
      </c>
      <c r="E73" s="33">
        <f t="shared" si="9"/>
        <v>2053.9439806202222</v>
      </c>
      <c r="F73" s="33">
        <f t="shared" si="10"/>
        <v>1842.0865156326568</v>
      </c>
      <c r="G73" s="33">
        <f t="shared" si="14"/>
        <v>2668.2367218995987</v>
      </c>
      <c r="H73" s="33">
        <f t="shared" si="14"/>
        <v>2540.019245938553</v>
      </c>
      <c r="I73" s="33">
        <f t="shared" si="14"/>
        <v>2254.2432065719086</v>
      </c>
      <c r="J73" s="41">
        <v>2263.0000000000005</v>
      </c>
      <c r="K73" s="41">
        <v>1867.8747466278669</v>
      </c>
      <c r="L73" s="41">
        <v>1487.8553448017931</v>
      </c>
      <c r="M73" s="33">
        <f t="shared" si="15"/>
        <v>0.94850684664042118</v>
      </c>
      <c r="N73" s="33">
        <f t="shared" si="11"/>
        <v>0.94032186250035721</v>
      </c>
      <c r="O73" s="33">
        <f t="shared" si="12"/>
        <v>0.90948791947547791</v>
      </c>
      <c r="P73" s="33">
        <f t="shared" si="16"/>
        <v>1.1790705797170122</v>
      </c>
      <c r="Q73" s="33">
        <f t="shared" si="17"/>
        <v>1.1561214220080562</v>
      </c>
      <c r="R73" s="33">
        <f t="shared" si="18"/>
        <v>1.0926293916029779</v>
      </c>
      <c r="S73" s="41">
        <v>1</v>
      </c>
      <c r="T73" s="41">
        <v>0.86728417994136808</v>
      </c>
      <c r="U73" s="41">
        <v>0.74296049963054778</v>
      </c>
      <c r="V73" s="38">
        <v>2146.4709939472732</v>
      </c>
      <c r="W73" s="38">
        <v>2025.915752440816</v>
      </c>
      <c r="X73" s="38">
        <v>1798.4924964371012</v>
      </c>
      <c r="Y73" s="38">
        <v>2668.2367218995987</v>
      </c>
      <c r="Z73" s="38">
        <v>2498.5770383887643</v>
      </c>
      <c r="AA73" s="38">
        <v>2189.7415375438732</v>
      </c>
      <c r="AB73" s="43"/>
      <c r="AC73" s="43"/>
      <c r="AD73" s="43"/>
      <c r="AE73" s="38">
        <v>0.94850684664042118</v>
      </c>
      <c r="AF73" s="38">
        <v>0.92475062462290936</v>
      </c>
      <c r="AG73" s="38">
        <v>0.88526901992239149</v>
      </c>
      <c r="AH73" s="38">
        <v>1.1790705797170122</v>
      </c>
      <c r="AI73" s="38">
        <v>1.1330979733692847</v>
      </c>
      <c r="AJ73" s="38">
        <v>1.0555902119140188</v>
      </c>
      <c r="AK73" s="44"/>
      <c r="AL73" s="44"/>
      <c r="AM73" s="44"/>
      <c r="AN73" s="39">
        <v>0</v>
      </c>
      <c r="AO73" s="39">
        <v>28.028228179406039</v>
      </c>
      <c r="AP73" s="39">
        <v>43.594019195555532</v>
      </c>
      <c r="AQ73" s="39">
        <v>0</v>
      </c>
      <c r="AR73" s="39">
        <v>41.44220754978857</v>
      </c>
      <c r="AS73" s="39">
        <v>64.501669028035295</v>
      </c>
      <c r="AT73" s="43"/>
      <c r="AU73" s="43"/>
      <c r="AV73" s="43"/>
      <c r="AW73" s="39">
        <v>0</v>
      </c>
      <c r="AX73" s="39">
        <v>1.5571237877447802E-2</v>
      </c>
      <c r="AY73" s="39">
        <v>2.4218899553086409E-2</v>
      </c>
      <c r="AZ73" s="39">
        <v>0</v>
      </c>
      <c r="BA73" s="39">
        <v>2.3023448638771423E-2</v>
      </c>
      <c r="BB73" s="39">
        <v>3.7039179688958986E-2</v>
      </c>
      <c r="BC73" s="44"/>
      <c r="BD73" s="44"/>
      <c r="BE73" s="44"/>
      <c r="BG73" s="40">
        <v>7.5278774643178824E-3</v>
      </c>
      <c r="BH73" s="40">
        <v>7.5865956133871178E-3</v>
      </c>
    </row>
    <row r="74" spans="2:60">
      <c r="B74" s="34"/>
      <c r="C74" s="22">
        <v>72</v>
      </c>
      <c r="D74" s="33">
        <f t="shared" si="13"/>
        <v>1922.6468754092837</v>
      </c>
      <c r="E74" s="33">
        <f t="shared" si="9"/>
        <v>1841.2711215359514</v>
      </c>
      <c r="F74" s="33">
        <f t="shared" si="10"/>
        <v>1654.8072014583993</v>
      </c>
      <c r="G74" s="33">
        <f t="shared" si="14"/>
        <v>849.57726754642022</v>
      </c>
      <c r="H74" s="33">
        <f t="shared" si="14"/>
        <v>810.35505107069696</v>
      </c>
      <c r="I74" s="33">
        <f t="shared" si="14"/>
        <v>722.52687151831242</v>
      </c>
      <c r="J74" s="41">
        <v>2263.0000000000005</v>
      </c>
      <c r="K74" s="41">
        <v>1867.8747466278669</v>
      </c>
      <c r="L74" s="41">
        <v>1487.8553448017931</v>
      </c>
      <c r="M74" s="33">
        <f t="shared" si="15"/>
        <v>0.84960091710529539</v>
      </c>
      <c r="N74" s="33">
        <f t="shared" si="11"/>
        <v>0.84212440862132831</v>
      </c>
      <c r="O74" s="33">
        <f t="shared" si="12"/>
        <v>0.81431431400092402</v>
      </c>
      <c r="P74" s="33">
        <f t="shared" si="16"/>
        <v>0.37542079873902778</v>
      </c>
      <c r="Q74" s="33">
        <f t="shared" si="17"/>
        <v>0.36847059929359399</v>
      </c>
      <c r="R74" s="33">
        <f t="shared" si="18"/>
        <v>0.34892682185796203</v>
      </c>
      <c r="S74" s="41">
        <v>1</v>
      </c>
      <c r="T74" s="41">
        <v>0.86728417994136808</v>
      </c>
      <c r="U74" s="41">
        <v>0.74296049963054778</v>
      </c>
      <c r="V74" s="38">
        <v>1922.6468754092837</v>
      </c>
      <c r="W74" s="38">
        <v>1816.3743545454254</v>
      </c>
      <c r="X74" s="38">
        <v>1616.2043346562718</v>
      </c>
      <c r="Y74" s="38">
        <v>849.57726754642022</v>
      </c>
      <c r="Z74" s="38">
        <v>797.14158775694511</v>
      </c>
      <c r="AA74" s="38">
        <v>702.02863773862873</v>
      </c>
      <c r="AB74" s="43"/>
      <c r="AC74" s="43"/>
      <c r="AD74" s="43"/>
      <c r="AE74" s="38">
        <v>0.84960091710529539</v>
      </c>
      <c r="AF74" s="38">
        <v>0.82829287140436947</v>
      </c>
      <c r="AG74" s="38">
        <v>0.79286827688863104</v>
      </c>
      <c r="AH74" s="38">
        <v>0.37542079873902778</v>
      </c>
      <c r="AI74" s="38">
        <v>0.36112978634150961</v>
      </c>
      <c r="AJ74" s="38">
        <v>0.33715599831629528</v>
      </c>
      <c r="AK74" s="44"/>
      <c r="AL74" s="44"/>
      <c r="AM74" s="44"/>
      <c r="AN74" s="39">
        <v>0</v>
      </c>
      <c r="AO74" s="39">
        <v>24.896766990525919</v>
      </c>
      <c r="AP74" s="39">
        <v>38.602866802127352</v>
      </c>
      <c r="AQ74" s="39">
        <v>0</v>
      </c>
      <c r="AR74" s="39">
        <v>13.213463313751896</v>
      </c>
      <c r="AS74" s="39">
        <v>20.498233779683698</v>
      </c>
      <c r="AT74" s="43"/>
      <c r="AU74" s="43"/>
      <c r="AV74" s="43"/>
      <c r="AW74" s="39">
        <v>0</v>
      </c>
      <c r="AX74" s="39">
        <v>1.3831537216958845E-2</v>
      </c>
      <c r="AY74" s="39">
        <v>2.1446037112292975E-2</v>
      </c>
      <c r="AZ74" s="39">
        <v>0</v>
      </c>
      <c r="BA74" s="39">
        <v>7.3408129520843857E-3</v>
      </c>
      <c r="BB74" s="39">
        <v>1.1770823541666727E-2</v>
      </c>
      <c r="BC74" s="44"/>
      <c r="BD74" s="44"/>
      <c r="BE74" s="44"/>
      <c r="BG74" s="40">
        <v>7.4233364761056801E-3</v>
      </c>
      <c r="BH74" s="40">
        <v>7.4775406049536362E-3</v>
      </c>
    </row>
    <row r="75" spans="2:60">
      <c r="B75" s="34"/>
      <c r="C75" s="22">
        <v>73</v>
      </c>
      <c r="D75" s="33">
        <f t="shared" si="13"/>
        <v>1887.7255120259911</v>
      </c>
      <c r="E75" s="33">
        <f t="shared" si="9"/>
        <v>1803.6822884198975</v>
      </c>
      <c r="F75" s="33">
        <f t="shared" si="10"/>
        <v>1611.9650992403251</v>
      </c>
      <c r="G75" s="33">
        <f t="shared" si="14"/>
        <v>1020.9485337841285</v>
      </c>
      <c r="H75" s="33">
        <f t="shared" si="14"/>
        <v>972.92277487267904</v>
      </c>
      <c r="I75" s="33">
        <f t="shared" si="14"/>
        <v>865.49561050327918</v>
      </c>
      <c r="J75" s="41">
        <v>2263.0000000000005</v>
      </c>
      <c r="K75" s="41">
        <v>1867.8747466278669</v>
      </c>
      <c r="L75" s="41">
        <v>1487.8553448017931</v>
      </c>
      <c r="M75" s="33">
        <f t="shared" si="15"/>
        <v>0.83416947062571389</v>
      </c>
      <c r="N75" s="33">
        <f t="shared" si="11"/>
        <v>0.82659827423132315</v>
      </c>
      <c r="O75" s="33">
        <f t="shared" si="12"/>
        <v>0.79877763974705429</v>
      </c>
      <c r="P75" s="33">
        <f t="shared" si="16"/>
        <v>0.45114826945829795</v>
      </c>
      <c r="Q75" s="33">
        <f t="shared" si="17"/>
        <v>0.44276978144430712</v>
      </c>
      <c r="R75" s="33">
        <f t="shared" si="18"/>
        <v>0.41919358922337219</v>
      </c>
      <c r="S75" s="41">
        <v>1</v>
      </c>
      <c r="T75" s="41">
        <v>0.86728417994136808</v>
      </c>
      <c r="U75" s="41">
        <v>0.74296049963054778</v>
      </c>
      <c r="V75" s="38">
        <v>1887.7255120259911</v>
      </c>
      <c r="W75" s="38">
        <v>1779.1768561279221</v>
      </c>
      <c r="X75" s="38">
        <v>1573.9472702481294</v>
      </c>
      <c r="Y75" s="38">
        <v>1020.9485337841285</v>
      </c>
      <c r="Z75" s="38">
        <v>956.9877210275406</v>
      </c>
      <c r="AA75" s="38">
        <v>840.76120209053829</v>
      </c>
      <c r="AB75" s="43"/>
      <c r="AC75" s="43"/>
      <c r="AD75" s="43"/>
      <c r="AE75" s="38">
        <v>0.83416947062571389</v>
      </c>
      <c r="AF75" s="38">
        <v>0.81298414518022566</v>
      </c>
      <c r="AG75" s="38">
        <v>0.77765662364027888</v>
      </c>
      <c r="AH75" s="38">
        <v>0.45114826945829795</v>
      </c>
      <c r="AI75" s="38">
        <v>0.43391697375256355</v>
      </c>
      <c r="AJ75" s="38">
        <v>0.40499020175286482</v>
      </c>
      <c r="AK75" s="44"/>
      <c r="AL75" s="44"/>
      <c r="AM75" s="44"/>
      <c r="AN75" s="39">
        <v>0</v>
      </c>
      <c r="AO75" s="39">
        <v>24.505432291975506</v>
      </c>
      <c r="AP75" s="39">
        <v>38.01782899219581</v>
      </c>
      <c r="AQ75" s="39">
        <v>0</v>
      </c>
      <c r="AR75" s="39">
        <v>15.93505384513848</v>
      </c>
      <c r="AS75" s="39">
        <v>24.734408412740869</v>
      </c>
      <c r="AT75" s="43"/>
      <c r="AU75" s="43"/>
      <c r="AV75" s="43"/>
      <c r="AW75" s="39">
        <v>0</v>
      </c>
      <c r="AX75" s="39">
        <v>1.3614129051097507E-2</v>
      </c>
      <c r="AY75" s="39">
        <v>2.1121016106775452E-2</v>
      </c>
      <c r="AZ75" s="39">
        <v>0</v>
      </c>
      <c r="BA75" s="39">
        <v>8.8528076917435972E-3</v>
      </c>
      <c r="BB75" s="39">
        <v>1.4203387470507341E-2</v>
      </c>
      <c r="BC75" s="44"/>
      <c r="BD75" s="44"/>
      <c r="BE75" s="44"/>
      <c r="BG75" s="40">
        <v>7.4436013506270701E-3</v>
      </c>
      <c r="BH75" s="40">
        <v>7.4979510986518446E-3</v>
      </c>
    </row>
    <row r="76" spans="2:60">
      <c r="B76" s="34"/>
      <c r="C76" s="22">
        <v>74</v>
      </c>
      <c r="D76" s="33">
        <f t="shared" si="13"/>
        <v>2025.4828260732017</v>
      </c>
      <c r="E76" s="33">
        <f t="shared" si="9"/>
        <v>1941.2357134908136</v>
      </c>
      <c r="F76" s="33">
        <f t="shared" si="10"/>
        <v>1747.1541811630768</v>
      </c>
      <c r="G76" s="33">
        <f t="shared" si="14"/>
        <v>857.48778367454554</v>
      </c>
      <c r="H76" s="33">
        <f t="shared" si="14"/>
        <v>818.60293107921416</v>
      </c>
      <c r="I76" s="33">
        <f t="shared" si="14"/>
        <v>731.13277369342632</v>
      </c>
      <c r="J76" s="41">
        <v>2263.0000000000005</v>
      </c>
      <c r="K76" s="41">
        <v>1867.8747466278669</v>
      </c>
      <c r="L76" s="41">
        <v>1487.8553448017931</v>
      </c>
      <c r="M76" s="33">
        <f t="shared" si="15"/>
        <v>0.89504322849014684</v>
      </c>
      <c r="N76" s="33">
        <f t="shared" si="11"/>
        <v>0.88773739707940236</v>
      </c>
      <c r="O76" s="33">
        <f t="shared" si="12"/>
        <v>0.85922698529595065</v>
      </c>
      <c r="P76" s="33">
        <f t="shared" si="16"/>
        <v>0.37891638695295876</v>
      </c>
      <c r="Q76" s="33">
        <f t="shared" si="17"/>
        <v>0.37211973989441377</v>
      </c>
      <c r="R76" s="33">
        <f t="shared" si="18"/>
        <v>0.3527044646464092</v>
      </c>
      <c r="S76" s="41">
        <v>1</v>
      </c>
      <c r="T76" s="41">
        <v>0.86728417994136808</v>
      </c>
      <c r="U76" s="41">
        <v>0.74296049963054778</v>
      </c>
      <c r="V76" s="38">
        <v>2025.4828260732017</v>
      </c>
      <c r="W76" s="38">
        <v>1914.469639888649</v>
      </c>
      <c r="X76" s="38">
        <v>1705.5439516411154</v>
      </c>
      <c r="Y76" s="38">
        <v>857.48778367454554</v>
      </c>
      <c r="Z76" s="38">
        <v>805.05894216373758</v>
      </c>
      <c r="AA76" s="38">
        <v>710.06665028796908</v>
      </c>
      <c r="AB76" s="43"/>
      <c r="AC76" s="43"/>
      <c r="AD76" s="43"/>
      <c r="AE76" s="38">
        <v>0.89504322849014684</v>
      </c>
      <c r="AF76" s="38">
        <v>0.87286735618931099</v>
      </c>
      <c r="AG76" s="38">
        <v>0.83611019111708318</v>
      </c>
      <c r="AH76" s="38">
        <v>0.37891638695295876</v>
      </c>
      <c r="AI76" s="38">
        <v>0.36459530160803788</v>
      </c>
      <c r="AJ76" s="38">
        <v>0.34060753844399771</v>
      </c>
      <c r="AK76" s="44"/>
      <c r="AL76" s="44"/>
      <c r="AM76" s="44"/>
      <c r="AN76" s="39">
        <v>0</v>
      </c>
      <c r="AO76" s="39">
        <v>26.766073602164532</v>
      </c>
      <c r="AP76" s="39">
        <v>41.610229521961386</v>
      </c>
      <c r="AQ76" s="39">
        <v>0</v>
      </c>
      <c r="AR76" s="39">
        <v>13.543988915476628</v>
      </c>
      <c r="AS76" s="39">
        <v>21.066123405457176</v>
      </c>
      <c r="AT76" s="43"/>
      <c r="AU76" s="43"/>
      <c r="AV76" s="43"/>
      <c r="AW76" s="39">
        <v>0</v>
      </c>
      <c r="AX76" s="39">
        <v>1.487004089009141E-2</v>
      </c>
      <c r="AY76" s="39">
        <v>2.3116794178867434E-2</v>
      </c>
      <c r="AZ76" s="39">
        <v>0</v>
      </c>
      <c r="BA76" s="39">
        <v>7.5244382863759018E-3</v>
      </c>
      <c r="BB76" s="39">
        <v>1.2096926202411476E-2</v>
      </c>
      <c r="BC76" s="44"/>
      <c r="BD76" s="44"/>
      <c r="BE76" s="44"/>
      <c r="BG76" s="40">
        <v>7.5066770353765227E-3</v>
      </c>
      <c r="BH76" s="40">
        <v>7.5614788431793561E-3</v>
      </c>
    </row>
    <row r="77" spans="2:60">
      <c r="B77" s="34"/>
      <c r="C77" s="22">
        <v>75</v>
      </c>
      <c r="D77" s="33">
        <f t="shared" si="13"/>
        <v>886.07536620515918</v>
      </c>
      <c r="E77" s="33">
        <f t="shared" si="9"/>
        <v>847.8524975986619</v>
      </c>
      <c r="F77" s="33">
        <f t="shared" si="10"/>
        <v>760.32572706309804</v>
      </c>
      <c r="G77" s="33">
        <f t="shared" si="14"/>
        <v>465.8043861276484</v>
      </c>
      <c r="H77" s="33">
        <f t="shared" si="14"/>
        <v>443.76691773776986</v>
      </c>
      <c r="I77" s="33">
        <f t="shared" si="14"/>
        <v>394.48588629394959</v>
      </c>
      <c r="J77" s="41">
        <v>2263.0000000000005</v>
      </c>
      <c r="K77" s="41">
        <v>1867.8747466278669</v>
      </c>
      <c r="L77" s="41">
        <v>1487.8553448017931</v>
      </c>
      <c r="M77" s="33">
        <f t="shared" si="15"/>
        <v>0.39154899081094091</v>
      </c>
      <c r="N77" s="33">
        <f t="shared" si="11"/>
        <v>0.38800549312763305</v>
      </c>
      <c r="O77" s="33">
        <f t="shared" si="12"/>
        <v>0.37492850602117622</v>
      </c>
      <c r="P77" s="33">
        <f t="shared" si="16"/>
        <v>0.20583490328221318</v>
      </c>
      <c r="Q77" s="33">
        <f t="shared" si="17"/>
        <v>0.20189516928492543</v>
      </c>
      <c r="R77" s="33">
        <f t="shared" si="18"/>
        <v>0.19089436433727533</v>
      </c>
      <c r="S77" s="41">
        <v>1</v>
      </c>
      <c r="T77" s="41">
        <v>0.86728417994136808</v>
      </c>
      <c r="U77" s="41">
        <v>0.74296049963054778</v>
      </c>
      <c r="V77" s="38">
        <v>886.07536620515918</v>
      </c>
      <c r="W77" s="38">
        <v>836.29921711890006</v>
      </c>
      <c r="X77" s="38">
        <v>742.39648491511025</v>
      </c>
      <c r="Y77" s="38">
        <v>465.8043861276484</v>
      </c>
      <c r="Z77" s="38">
        <v>436.48634827366061</v>
      </c>
      <c r="AA77" s="38">
        <v>383.1815532081082</v>
      </c>
      <c r="AB77" s="43"/>
      <c r="AC77" s="43"/>
      <c r="AD77" s="43"/>
      <c r="AE77" s="38">
        <v>0.39154899081094091</v>
      </c>
      <c r="AF77" s="38">
        <v>0.38158700397220979</v>
      </c>
      <c r="AG77" s="38">
        <v>0.36496781593896077</v>
      </c>
      <c r="AH77" s="38">
        <v>0.20583490328221318</v>
      </c>
      <c r="AI77" s="38">
        <v>0.1978504084715314</v>
      </c>
      <c r="AJ77" s="38">
        <v>0.18440300945080976</v>
      </c>
      <c r="AK77" s="44"/>
      <c r="AL77" s="44"/>
      <c r="AM77" s="44"/>
      <c r="AN77" s="39">
        <v>0</v>
      </c>
      <c r="AO77" s="39">
        <v>11.553280479761865</v>
      </c>
      <c r="AP77" s="39">
        <v>17.929242147987804</v>
      </c>
      <c r="AQ77" s="39">
        <v>0</v>
      </c>
      <c r="AR77" s="39">
        <v>7.2805694641092469</v>
      </c>
      <c r="AS77" s="39">
        <v>11.304333085841368</v>
      </c>
      <c r="AT77" s="43"/>
      <c r="AU77" s="43"/>
      <c r="AV77" s="43"/>
      <c r="AW77" s="39">
        <v>0</v>
      </c>
      <c r="AX77" s="39">
        <v>6.4184891554232596E-3</v>
      </c>
      <c r="AY77" s="39">
        <v>9.9606900822154475E-3</v>
      </c>
      <c r="AZ77" s="39">
        <v>0</v>
      </c>
      <c r="BA77" s="39">
        <v>4.0447608133940246E-3</v>
      </c>
      <c r="BB77" s="39">
        <v>6.4913548864655836E-3</v>
      </c>
      <c r="BC77" s="44"/>
      <c r="BD77" s="44"/>
      <c r="BE77" s="44"/>
      <c r="BG77" s="40">
        <v>7.4478549330189462E-3</v>
      </c>
      <c r="BH77" s="40">
        <v>7.5022344917474683E-3</v>
      </c>
    </row>
    <row r="78" spans="2:60">
      <c r="B78" s="34"/>
      <c r="C78" s="22">
        <v>76</v>
      </c>
      <c r="D78" s="33">
        <f t="shared" si="13"/>
        <v>2097.6605543032369</v>
      </c>
      <c r="E78" s="33">
        <f t="shared" si="9"/>
        <v>2009.2948820450829</v>
      </c>
      <c r="F78" s="33">
        <f t="shared" si="10"/>
        <v>1806.717905930655</v>
      </c>
      <c r="G78" s="33">
        <f t="shared" si="14"/>
        <v>1353.8833646802357</v>
      </c>
      <c r="H78" s="33">
        <f t="shared" si="14"/>
        <v>1290.5330072656257</v>
      </c>
      <c r="I78" s="33">
        <f t="shared" si="14"/>
        <v>1148.9427354544255</v>
      </c>
      <c r="J78" s="41">
        <v>2263.0000000000005</v>
      </c>
      <c r="K78" s="41">
        <v>1867.8747466278669</v>
      </c>
      <c r="L78" s="41">
        <v>1487.8553448017931</v>
      </c>
      <c r="M78" s="33">
        <f t="shared" si="15"/>
        <v>0.92693793826921655</v>
      </c>
      <c r="N78" s="33">
        <f t="shared" si="11"/>
        <v>0.91890801253614418</v>
      </c>
      <c r="O78" s="33">
        <f t="shared" si="12"/>
        <v>0.88882774569825618</v>
      </c>
      <c r="P78" s="33">
        <f t="shared" si="16"/>
        <v>0.59826927294751886</v>
      </c>
      <c r="Q78" s="33">
        <f t="shared" si="17"/>
        <v>0.58696456000246167</v>
      </c>
      <c r="R78" s="33">
        <f t="shared" si="18"/>
        <v>0.5554064296019493</v>
      </c>
      <c r="S78" s="41">
        <v>1</v>
      </c>
      <c r="T78" s="41">
        <v>0.86728417994136808</v>
      </c>
      <c r="U78" s="41">
        <v>0.74296049963054778</v>
      </c>
      <c r="V78" s="38">
        <v>2097.6605543032369</v>
      </c>
      <c r="W78" s="38">
        <v>1982.07119229869</v>
      </c>
      <c r="X78" s="38">
        <v>1764.4177996229746</v>
      </c>
      <c r="Y78" s="38">
        <v>1353.8833646802357</v>
      </c>
      <c r="Z78" s="38">
        <v>1269.4915737719787</v>
      </c>
      <c r="AA78" s="38">
        <v>1116.231834960392</v>
      </c>
      <c r="AB78" s="43"/>
      <c r="AC78" s="43"/>
      <c r="AD78" s="43"/>
      <c r="AE78" s="38">
        <v>0.92693793826921655</v>
      </c>
      <c r="AF78" s="38">
        <v>0.90378374045481469</v>
      </c>
      <c r="AG78" s="38">
        <v>0.86532768663843385</v>
      </c>
      <c r="AH78" s="38">
        <v>0.59826927294751886</v>
      </c>
      <c r="AI78" s="38">
        <v>0.57527487472821337</v>
      </c>
      <c r="AJ78" s="38">
        <v>0.53662265331455494</v>
      </c>
      <c r="AK78" s="44"/>
      <c r="AL78" s="44"/>
      <c r="AM78" s="44"/>
      <c r="AN78" s="39">
        <v>0</v>
      </c>
      <c r="AO78" s="39">
        <v>27.223689746393003</v>
      </c>
      <c r="AP78" s="39">
        <v>42.300106307680281</v>
      </c>
      <c r="AQ78" s="39">
        <v>0</v>
      </c>
      <c r="AR78" s="39">
        <v>21.041433493646956</v>
      </c>
      <c r="AS78" s="39">
        <v>32.710900494033531</v>
      </c>
      <c r="AT78" s="43"/>
      <c r="AU78" s="43"/>
      <c r="AV78" s="43"/>
      <c r="AW78" s="39">
        <v>0</v>
      </c>
      <c r="AX78" s="39">
        <v>1.5124272081329449E-2</v>
      </c>
      <c r="AY78" s="39">
        <v>2.3500059059822376E-2</v>
      </c>
      <c r="AZ78" s="39">
        <v>0</v>
      </c>
      <c r="BA78" s="39">
        <v>1.1689685274248306E-2</v>
      </c>
      <c r="BB78" s="39">
        <v>1.8783776287394308E-2</v>
      </c>
      <c r="BC78" s="44"/>
      <c r="BD78" s="44"/>
      <c r="BE78" s="44"/>
      <c r="BG78" s="40">
        <v>7.4881061675053538E-3</v>
      </c>
      <c r="BH78" s="40">
        <v>7.5427744996239693E-3</v>
      </c>
    </row>
    <row r="79" spans="2:60">
      <c r="B79" s="34"/>
      <c r="C79" s="22">
        <v>77</v>
      </c>
      <c r="D79" s="33">
        <f t="shared" si="13"/>
        <v>1006.6868105424803</v>
      </c>
      <c r="E79" s="33">
        <f t="shared" si="9"/>
        <v>965.02594782079791</v>
      </c>
      <c r="F79" s="33">
        <f t="shared" si="10"/>
        <v>868.98237407888939</v>
      </c>
      <c r="G79" s="33">
        <f t="shared" si="14"/>
        <v>460.2828241741737</v>
      </c>
      <c r="H79" s="33">
        <f t="shared" si="14"/>
        <v>439.48917931420351</v>
      </c>
      <c r="I79" s="33">
        <f t="shared" si="14"/>
        <v>392.70438454202963</v>
      </c>
      <c r="J79" s="41">
        <v>2263.0000000000005</v>
      </c>
      <c r="K79" s="41">
        <v>1867.8747466278669</v>
      </c>
      <c r="L79" s="41">
        <v>1487.8553448017931</v>
      </c>
      <c r="M79" s="33">
        <f t="shared" si="15"/>
        <v>0.44484613810980128</v>
      </c>
      <c r="N79" s="33">
        <f t="shared" si="11"/>
        <v>0.4408358456597854</v>
      </c>
      <c r="O79" s="33">
        <f t="shared" si="12"/>
        <v>0.42587148609243636</v>
      </c>
      <c r="P79" s="33">
        <f t="shared" si="16"/>
        <v>0.20339497312159688</v>
      </c>
      <c r="Q79" s="33">
        <f t="shared" si="17"/>
        <v>0.19959775315059455</v>
      </c>
      <c r="R79" s="33">
        <f t="shared" si="18"/>
        <v>0.18887643656061132</v>
      </c>
      <c r="S79" s="41">
        <v>1</v>
      </c>
      <c r="T79" s="41">
        <v>0.86728417994136808</v>
      </c>
      <c r="U79" s="41">
        <v>0.74296049963054778</v>
      </c>
      <c r="V79" s="38">
        <v>1006.6868105424803</v>
      </c>
      <c r="W79" s="38">
        <v>951.72541335630342</v>
      </c>
      <c r="X79" s="38">
        <v>848.32818402129521</v>
      </c>
      <c r="Y79" s="38">
        <v>460.2828241741737</v>
      </c>
      <c r="Z79" s="38">
        <v>432.23208182491305</v>
      </c>
      <c r="AA79" s="38">
        <v>381.42916859358871</v>
      </c>
      <c r="AB79" s="43"/>
      <c r="AC79" s="43"/>
      <c r="AD79" s="43"/>
      <c r="AE79" s="38">
        <v>0.44484613810980128</v>
      </c>
      <c r="AF79" s="38">
        <v>0.43344665984617736</v>
      </c>
      <c r="AG79" s="38">
        <v>0.41439693606043959</v>
      </c>
      <c r="AH79" s="38">
        <v>0.20339497312159688</v>
      </c>
      <c r="AI79" s="38">
        <v>0.19556603232321096</v>
      </c>
      <c r="AJ79" s="38">
        <v>0.18240180178232984</v>
      </c>
      <c r="AK79" s="44"/>
      <c r="AL79" s="44"/>
      <c r="AM79" s="44"/>
      <c r="AN79" s="39">
        <v>0</v>
      </c>
      <c r="AO79" s="39">
        <v>13.300534464494486</v>
      </c>
      <c r="AP79" s="39">
        <v>20.654190057594178</v>
      </c>
      <c r="AQ79" s="39">
        <v>0</v>
      </c>
      <c r="AR79" s="39">
        <v>7.2570974892904863</v>
      </c>
      <c r="AS79" s="39">
        <v>11.275215948440911</v>
      </c>
      <c r="AT79" s="43"/>
      <c r="AU79" s="43"/>
      <c r="AV79" s="43"/>
      <c r="AW79" s="39">
        <v>0</v>
      </c>
      <c r="AX79" s="39">
        <v>7.3891858136080485E-3</v>
      </c>
      <c r="AY79" s="39">
        <v>1.1474550031996766E-2</v>
      </c>
      <c r="AZ79" s="39">
        <v>0</v>
      </c>
      <c r="BA79" s="39">
        <v>4.0317208273836025E-3</v>
      </c>
      <c r="BB79" s="39">
        <v>6.4746347782814852E-3</v>
      </c>
      <c r="BC79" s="44"/>
      <c r="BD79" s="44"/>
      <c r="BE79" s="44"/>
      <c r="BG79" s="40">
        <v>7.4705964167469897E-3</v>
      </c>
      <c r="BH79" s="40">
        <v>7.525139338062781E-3</v>
      </c>
    </row>
    <row r="80" spans="2:60">
      <c r="B80" s="34"/>
      <c r="C80" s="22">
        <v>78</v>
      </c>
      <c r="D80" s="33">
        <f t="shared" si="13"/>
        <v>1249.234542908167</v>
      </c>
      <c r="E80" s="33">
        <f t="shared" si="9"/>
        <v>1196.6655370890419</v>
      </c>
      <c r="F80" s="33">
        <f t="shared" si="10"/>
        <v>1075.9568751391212</v>
      </c>
      <c r="G80" s="33">
        <f t="shared" si="14"/>
        <v>839.12239031733964</v>
      </c>
      <c r="H80" s="33">
        <f t="shared" si="14"/>
        <v>800.03681093657133</v>
      </c>
      <c r="I80" s="33">
        <f t="shared" si="14"/>
        <v>712.54768860583761</v>
      </c>
      <c r="J80" s="41">
        <v>2263.0000000000005</v>
      </c>
      <c r="K80" s="41">
        <v>1867.8747466278669</v>
      </c>
      <c r="L80" s="41">
        <v>1487.8553448017931</v>
      </c>
      <c r="M80" s="33">
        <f t="shared" si="15"/>
        <v>0.5520258696014877</v>
      </c>
      <c r="N80" s="33">
        <f t="shared" si="11"/>
        <v>0.54704275227695165</v>
      </c>
      <c r="O80" s="33">
        <f t="shared" si="12"/>
        <v>0.52861199823095628</v>
      </c>
      <c r="P80" s="33">
        <f t="shared" si="16"/>
        <v>0.37080087950390617</v>
      </c>
      <c r="Q80" s="33">
        <f t="shared" si="17"/>
        <v>0.36374420229836241</v>
      </c>
      <c r="R80" s="33">
        <f t="shared" si="18"/>
        <v>0.34403123122185003</v>
      </c>
      <c r="S80" s="41">
        <v>1</v>
      </c>
      <c r="T80" s="41">
        <v>0.86728417994136808</v>
      </c>
      <c r="U80" s="41">
        <v>0.74296049963054778</v>
      </c>
      <c r="V80" s="38">
        <v>1249.234542908167</v>
      </c>
      <c r="W80" s="38">
        <v>1180.3423009335149</v>
      </c>
      <c r="X80" s="38">
        <v>1050.609151961763</v>
      </c>
      <c r="Y80" s="38">
        <v>839.12239031733964</v>
      </c>
      <c r="Z80" s="38">
        <v>786.93944894800541</v>
      </c>
      <c r="AA80" s="38">
        <v>692.19886248166836</v>
      </c>
      <c r="AB80" s="43"/>
      <c r="AC80" s="43"/>
      <c r="AD80" s="43"/>
      <c r="AE80" s="38">
        <v>0.5520258696014877</v>
      </c>
      <c r="AF80" s="38">
        <v>0.53797428774610334</v>
      </c>
      <c r="AG80" s="38">
        <v>0.51452992979909062</v>
      </c>
      <c r="AH80" s="38">
        <v>0.37080087950390617</v>
      </c>
      <c r="AI80" s="38">
        <v>0.35646789008249247</v>
      </c>
      <c r="AJ80" s="38">
        <v>0.33234620293297124</v>
      </c>
      <c r="AK80" s="44"/>
      <c r="AL80" s="44"/>
      <c r="AM80" s="44"/>
      <c r="AN80" s="39">
        <v>0</v>
      </c>
      <c r="AO80" s="39">
        <v>16.32323615552696</v>
      </c>
      <c r="AP80" s="39">
        <v>25.347723177358173</v>
      </c>
      <c r="AQ80" s="39">
        <v>0</v>
      </c>
      <c r="AR80" s="39">
        <v>13.097361988565932</v>
      </c>
      <c r="AS80" s="39">
        <v>20.3488261241693</v>
      </c>
      <c r="AT80" s="43"/>
      <c r="AU80" s="43"/>
      <c r="AV80" s="43"/>
      <c r="AW80" s="39">
        <v>0</v>
      </c>
      <c r="AX80" s="39">
        <v>9.0684645308483115E-3</v>
      </c>
      <c r="AY80" s="39">
        <v>1.4082068431865657E-2</v>
      </c>
      <c r="AZ80" s="39">
        <v>0</v>
      </c>
      <c r="BA80" s="39">
        <v>7.2763122158699609E-3</v>
      </c>
      <c r="BB80" s="39">
        <v>1.1685028288878794E-2</v>
      </c>
      <c r="BC80" s="44"/>
      <c r="BD80" s="44"/>
      <c r="BE80" s="44"/>
      <c r="BG80" s="40">
        <v>7.4722651874298968E-3</v>
      </c>
      <c r="BH80" s="40">
        <v>7.5268203530572814E-3</v>
      </c>
    </row>
    <row r="81" spans="2:60">
      <c r="B81" s="34"/>
      <c r="C81" s="22">
        <v>79</v>
      </c>
      <c r="D81" s="33">
        <f t="shared" si="13"/>
        <v>1585.9214873999013</v>
      </c>
      <c r="E81" s="33">
        <f t="shared" si="9"/>
        <v>1520.9555366472068</v>
      </c>
      <c r="F81" s="33">
        <f t="shared" si="10"/>
        <v>1370.8185690017692</v>
      </c>
      <c r="G81" s="33">
        <f t="shared" si="14"/>
        <v>1314.3524765642246</v>
      </c>
      <c r="H81" s="33">
        <f t="shared" si="14"/>
        <v>1254.3078386971395</v>
      </c>
      <c r="I81" s="33">
        <f t="shared" si="14"/>
        <v>1119.143947743928</v>
      </c>
      <c r="J81" s="41">
        <v>2263.0000000000005</v>
      </c>
      <c r="K81" s="41">
        <v>1867.8747466278669</v>
      </c>
      <c r="L81" s="41">
        <v>1487.8553448017931</v>
      </c>
      <c r="M81" s="33">
        <f t="shared" si="15"/>
        <v>0.70080489942549784</v>
      </c>
      <c r="N81" s="33">
        <f t="shared" si="11"/>
        <v>0.69492343369582621</v>
      </c>
      <c r="O81" s="33">
        <f t="shared" si="12"/>
        <v>0.67213513270826353</v>
      </c>
      <c r="P81" s="33">
        <f t="shared" si="16"/>
        <v>0.580800917615654</v>
      </c>
      <c r="Q81" s="33">
        <f t="shared" si="17"/>
        <v>0.57003779349166528</v>
      </c>
      <c r="R81" s="33">
        <f t="shared" si="18"/>
        <v>0.53947535685639147</v>
      </c>
      <c r="S81" s="41">
        <v>1</v>
      </c>
      <c r="T81" s="41">
        <v>0.86728417994136808</v>
      </c>
      <c r="U81" s="41">
        <v>0.74296049963054778</v>
      </c>
      <c r="V81" s="38">
        <v>1585.9214873999013</v>
      </c>
      <c r="W81" s="38">
        <v>1499.8131818307106</v>
      </c>
      <c r="X81" s="38">
        <v>1337.9089545889715</v>
      </c>
      <c r="Y81" s="38">
        <v>1314.3524765642246</v>
      </c>
      <c r="Z81" s="38">
        <v>1233.3905244992068</v>
      </c>
      <c r="AA81" s="38">
        <v>1086.5679546717854</v>
      </c>
      <c r="AB81" s="43"/>
      <c r="AC81" s="43"/>
      <c r="AD81" s="43"/>
      <c r="AE81" s="38">
        <v>0.70080489942549784</v>
      </c>
      <c r="AF81" s="38">
        <v>0.68317768101999499</v>
      </c>
      <c r="AG81" s="38">
        <v>0.65385201359004264</v>
      </c>
      <c r="AH81" s="38">
        <v>0.580800917615654</v>
      </c>
      <c r="AI81" s="38">
        <v>0.55841706338170272</v>
      </c>
      <c r="AJ81" s="38">
        <v>0.52076904926579348</v>
      </c>
      <c r="AK81" s="44"/>
      <c r="AL81" s="44"/>
      <c r="AM81" s="44"/>
      <c r="AN81" s="39">
        <v>0</v>
      </c>
      <c r="AO81" s="39">
        <v>21.142354816496209</v>
      </c>
      <c r="AP81" s="39">
        <v>32.909614412797687</v>
      </c>
      <c r="AQ81" s="39">
        <v>0</v>
      </c>
      <c r="AR81" s="39">
        <v>20.91731419793258</v>
      </c>
      <c r="AS81" s="39">
        <v>32.575993072142644</v>
      </c>
      <c r="AT81" s="43"/>
      <c r="AU81" s="43"/>
      <c r="AV81" s="43"/>
      <c r="AW81" s="39">
        <v>0</v>
      </c>
      <c r="AX81" s="39">
        <v>1.1745752675831228E-2</v>
      </c>
      <c r="AY81" s="39">
        <v>1.828311911822094E-2</v>
      </c>
      <c r="AZ81" s="39">
        <v>0</v>
      </c>
      <c r="BA81" s="39">
        <v>1.162073010996254E-2</v>
      </c>
      <c r="BB81" s="39">
        <v>1.8706307590597975E-2</v>
      </c>
      <c r="BC81" s="44"/>
      <c r="BD81" s="44"/>
      <c r="BE81" s="44"/>
      <c r="BG81" s="40">
        <v>7.5469840984170658E-3</v>
      </c>
      <c r="BH81" s="40">
        <v>7.6020748664557894E-3</v>
      </c>
    </row>
    <row r="82" spans="2:60">
      <c r="B82" s="34"/>
      <c r="C82" s="22">
        <v>80</v>
      </c>
      <c r="D82" s="33">
        <f t="shared" si="13"/>
        <v>675.82181457144122</v>
      </c>
      <c r="E82" s="33">
        <f t="shared" si="9"/>
        <v>645.05689523660465</v>
      </c>
      <c r="F82" s="33">
        <f t="shared" si="10"/>
        <v>575.13511066933359</v>
      </c>
      <c r="G82" s="33">
        <f t="shared" si="14"/>
        <v>2711.1049292443727</v>
      </c>
      <c r="H82" s="33">
        <f t="shared" si="14"/>
        <v>2579.1270868517258</v>
      </c>
      <c r="I82" s="33">
        <f t="shared" si="14"/>
        <v>2284.8382093993569</v>
      </c>
      <c r="J82" s="41">
        <v>2263.0000000000005</v>
      </c>
      <c r="K82" s="41">
        <v>1867.8747466278669</v>
      </c>
      <c r="L82" s="41">
        <v>1487.8553448017931</v>
      </c>
      <c r="M82" s="33">
        <f t="shared" si="15"/>
        <v>0.29863977665551977</v>
      </c>
      <c r="N82" s="33">
        <f t="shared" si="11"/>
        <v>0.29557243385455323</v>
      </c>
      <c r="O82" s="33">
        <f t="shared" si="12"/>
        <v>0.28493793489953856</v>
      </c>
      <c r="P82" s="33">
        <f t="shared" si="16"/>
        <v>1.1980136673638406</v>
      </c>
      <c r="Q82" s="33">
        <f t="shared" si="17"/>
        <v>1.1736894068759061</v>
      </c>
      <c r="R82" s="33">
        <f t="shared" si="18"/>
        <v>1.1068789356222506</v>
      </c>
      <c r="S82" s="41">
        <v>1</v>
      </c>
      <c r="T82" s="41">
        <v>0.86728417994136808</v>
      </c>
      <c r="U82" s="41">
        <v>0.74296049963054778</v>
      </c>
      <c r="V82" s="38">
        <v>675.82181457144122</v>
      </c>
      <c r="W82" s="38">
        <v>636.34721944306216</v>
      </c>
      <c r="X82" s="38">
        <v>561.60553342623643</v>
      </c>
      <c r="Y82" s="38">
        <v>2711.1049292443727</v>
      </c>
      <c r="Z82" s="38">
        <v>2536.7707497304928</v>
      </c>
      <c r="AA82" s="38">
        <v>2219.0082792038365</v>
      </c>
      <c r="AB82" s="43"/>
      <c r="AC82" s="43"/>
      <c r="AD82" s="43"/>
      <c r="AE82" s="38">
        <v>0.29863977665551977</v>
      </c>
      <c r="AF82" s="38">
        <v>0.29073372508036294</v>
      </c>
      <c r="AG82" s="38">
        <v>0.27742150309781793</v>
      </c>
      <c r="AH82" s="38">
        <v>1.1980136673638406</v>
      </c>
      <c r="AI82" s="38">
        <v>1.150158108475221</v>
      </c>
      <c r="AJ82" s="38">
        <v>1.069077020568491</v>
      </c>
      <c r="AK82" s="44"/>
      <c r="AL82" s="44"/>
      <c r="AM82" s="44"/>
      <c r="AN82" s="39">
        <v>0</v>
      </c>
      <c r="AO82" s="39">
        <v>8.7096757935424947</v>
      </c>
      <c r="AP82" s="39">
        <v>13.52957724309711</v>
      </c>
      <c r="AQ82" s="39">
        <v>0</v>
      </c>
      <c r="AR82" s="39">
        <v>42.35633712123299</v>
      </c>
      <c r="AS82" s="39">
        <v>65.829930195520333</v>
      </c>
      <c r="AT82" s="43"/>
      <c r="AU82" s="43"/>
      <c r="AV82" s="43"/>
      <c r="AW82" s="39">
        <v>0</v>
      </c>
      <c r="AX82" s="39">
        <v>4.8387087741902767E-3</v>
      </c>
      <c r="AY82" s="39">
        <v>7.5164318017206166E-3</v>
      </c>
      <c r="AZ82" s="39">
        <v>0</v>
      </c>
      <c r="BA82" s="39">
        <v>2.3531298400684991E-2</v>
      </c>
      <c r="BB82" s="39">
        <v>3.7801915053759572E-2</v>
      </c>
      <c r="BC82" s="44"/>
      <c r="BD82" s="44"/>
      <c r="BE82" s="44"/>
      <c r="BG82" s="40">
        <v>7.4370815647554671E-3</v>
      </c>
      <c r="BH82" s="40">
        <v>7.4913784589736715E-3</v>
      </c>
    </row>
    <row r="83" spans="2:60">
      <c r="B83" s="34"/>
      <c r="C83" s="22">
        <v>81</v>
      </c>
      <c r="D83" s="33">
        <f t="shared" si="13"/>
        <v>675.82181457144122</v>
      </c>
      <c r="E83" s="33">
        <f t="shared" si="9"/>
        <v>645.05689523660465</v>
      </c>
      <c r="F83" s="33">
        <f t="shared" si="10"/>
        <v>575.13511066933359</v>
      </c>
      <c r="G83" s="33">
        <f t="shared" si="14"/>
        <v>2711.1049292443727</v>
      </c>
      <c r="H83" s="33">
        <f t="shared" si="14"/>
        <v>2579.1270868517258</v>
      </c>
      <c r="I83" s="33">
        <f t="shared" si="14"/>
        <v>2284.8382093993569</v>
      </c>
      <c r="J83" s="41">
        <v>2263.0000000000005</v>
      </c>
      <c r="K83" s="41">
        <v>1867.8747466278669</v>
      </c>
      <c r="L83" s="41">
        <v>1487.8553448017931</v>
      </c>
      <c r="M83" s="33">
        <f t="shared" si="15"/>
        <v>0.29863977665551977</v>
      </c>
      <c r="N83" s="33">
        <f t="shared" si="11"/>
        <v>0.29557243385455323</v>
      </c>
      <c r="O83" s="33">
        <f t="shared" si="12"/>
        <v>0.28493793489953856</v>
      </c>
      <c r="P83" s="33">
        <f t="shared" si="16"/>
        <v>1.1980136673638406</v>
      </c>
      <c r="Q83" s="33">
        <f t="shared" si="17"/>
        <v>1.1736894068759061</v>
      </c>
      <c r="R83" s="33">
        <f t="shared" si="18"/>
        <v>1.1068789356222506</v>
      </c>
      <c r="S83" s="41">
        <v>1</v>
      </c>
      <c r="T83" s="41">
        <v>0.86728417994136808</v>
      </c>
      <c r="U83" s="41">
        <v>0.74296049963054778</v>
      </c>
      <c r="V83" s="38">
        <v>675.82181457144122</v>
      </c>
      <c r="W83" s="38">
        <v>636.34721944306216</v>
      </c>
      <c r="X83" s="38">
        <v>561.60553342623643</v>
      </c>
      <c r="Y83" s="38">
        <v>2711.1049292443727</v>
      </c>
      <c r="Z83" s="38">
        <v>2536.7707497304928</v>
      </c>
      <c r="AA83" s="38">
        <v>2219.0082792038365</v>
      </c>
      <c r="AB83" s="43"/>
      <c r="AC83" s="43"/>
      <c r="AD83" s="43"/>
      <c r="AE83" s="38">
        <v>0.29863977665551977</v>
      </c>
      <c r="AF83" s="38">
        <v>0.29073372508036294</v>
      </c>
      <c r="AG83" s="38">
        <v>0.27742150309781793</v>
      </c>
      <c r="AH83" s="38">
        <v>1.1980136673638406</v>
      </c>
      <c r="AI83" s="38">
        <v>1.150158108475221</v>
      </c>
      <c r="AJ83" s="38">
        <v>1.069077020568491</v>
      </c>
      <c r="AK83" s="44"/>
      <c r="AL83" s="44"/>
      <c r="AM83" s="44"/>
      <c r="AN83" s="39">
        <v>0</v>
      </c>
      <c r="AO83" s="39">
        <v>8.7096757935424947</v>
      </c>
      <c r="AP83" s="39">
        <v>13.52957724309711</v>
      </c>
      <c r="AQ83" s="39">
        <v>0</v>
      </c>
      <c r="AR83" s="39">
        <v>42.35633712123299</v>
      </c>
      <c r="AS83" s="39">
        <v>65.829930195520333</v>
      </c>
      <c r="AT83" s="43"/>
      <c r="AU83" s="43"/>
      <c r="AV83" s="43"/>
      <c r="AW83" s="39">
        <v>0</v>
      </c>
      <c r="AX83" s="39">
        <v>4.8387087741902767E-3</v>
      </c>
      <c r="AY83" s="39">
        <v>7.5164318017206166E-3</v>
      </c>
      <c r="AZ83" s="39">
        <v>0</v>
      </c>
      <c r="BA83" s="39">
        <v>2.3531298400684991E-2</v>
      </c>
      <c r="BB83" s="39">
        <v>3.7801915053759572E-2</v>
      </c>
      <c r="BC83" s="44"/>
      <c r="BD83" s="44"/>
      <c r="BE83" s="44"/>
      <c r="BG83" s="40">
        <v>7.4370815647554671E-3</v>
      </c>
      <c r="BH83" s="40">
        <v>7.4913784589736715E-3</v>
      </c>
    </row>
    <row r="84" spans="2:60">
      <c r="B84" s="34"/>
      <c r="C84" s="22">
        <v>82</v>
      </c>
      <c r="D84" s="33">
        <f t="shared" si="13"/>
        <v>1193.242804691974</v>
      </c>
      <c r="E84" s="33">
        <f t="shared" si="9"/>
        <v>1139.9005480415772</v>
      </c>
      <c r="F84" s="33">
        <f t="shared" si="10"/>
        <v>1017.1682422275757</v>
      </c>
      <c r="G84" s="33">
        <f t="shared" si="14"/>
        <v>760.5785574197148</v>
      </c>
      <c r="H84" s="33">
        <f t="shared" si="14"/>
        <v>725.65566169635952</v>
      </c>
      <c r="I84" s="33">
        <f t="shared" si="14"/>
        <v>646.3645682817845</v>
      </c>
      <c r="J84" s="41">
        <v>2263.0000000000005</v>
      </c>
      <c r="K84" s="41">
        <v>1867.8747466278669</v>
      </c>
      <c r="L84" s="41">
        <v>1487.8553448017931</v>
      </c>
      <c r="M84" s="33">
        <f t="shared" si="15"/>
        <v>0.52728360790630768</v>
      </c>
      <c r="N84" s="33">
        <f t="shared" si="11"/>
        <v>0.52276081251440376</v>
      </c>
      <c r="O84" s="33">
        <f t="shared" si="12"/>
        <v>0.50510994934841913</v>
      </c>
      <c r="P84" s="33">
        <f t="shared" si="16"/>
        <v>0.3360930434908152</v>
      </c>
      <c r="Q84" s="33">
        <f t="shared" si="17"/>
        <v>0.3301217672994754</v>
      </c>
      <c r="R84" s="33">
        <f t="shared" si="18"/>
        <v>0.31257576214617822</v>
      </c>
      <c r="S84" s="41">
        <v>1</v>
      </c>
      <c r="T84" s="41">
        <v>0.86728417994136808</v>
      </c>
      <c r="U84" s="41">
        <v>0.74296049963054778</v>
      </c>
      <c r="V84" s="38">
        <v>1193.242804691974</v>
      </c>
      <c r="W84" s="38">
        <v>1123.6180865915007</v>
      </c>
      <c r="X84" s="38">
        <v>991.8028696439502</v>
      </c>
      <c r="Y84" s="38">
        <v>760.5785574197148</v>
      </c>
      <c r="Z84" s="38">
        <v>713.05615880962546</v>
      </c>
      <c r="AA84" s="38">
        <v>626.72659228700695</v>
      </c>
      <c r="AB84" s="43"/>
      <c r="AC84" s="43"/>
      <c r="AD84" s="43"/>
      <c r="AE84" s="38">
        <v>0.52728360790630768</v>
      </c>
      <c r="AF84" s="38">
        <v>0.5137150005976947</v>
      </c>
      <c r="AG84" s="38">
        <v>0.49101807569084938</v>
      </c>
      <c r="AH84" s="38">
        <v>0.3360930434908152</v>
      </c>
      <c r="AI84" s="38">
        <v>0.32312204347351203</v>
      </c>
      <c r="AJ84" s="38">
        <v>0.30129892958418852</v>
      </c>
      <c r="AK84" s="44"/>
      <c r="AL84" s="44"/>
      <c r="AM84" s="44"/>
      <c r="AN84" s="39">
        <v>0</v>
      </c>
      <c r="AO84" s="39">
        <v>16.282461450076351</v>
      </c>
      <c r="AP84" s="39">
        <v>25.365372583625472</v>
      </c>
      <c r="AQ84" s="39">
        <v>0</v>
      </c>
      <c r="AR84" s="39">
        <v>12.599502886734047</v>
      </c>
      <c r="AS84" s="39">
        <v>19.637975994777566</v>
      </c>
      <c r="AT84" s="43"/>
      <c r="AU84" s="43"/>
      <c r="AV84" s="43"/>
      <c r="AW84" s="39">
        <v>0</v>
      </c>
      <c r="AX84" s="39">
        <v>9.0458119167090862E-3</v>
      </c>
      <c r="AY84" s="39">
        <v>1.4091873657569707E-2</v>
      </c>
      <c r="AZ84" s="39">
        <v>0</v>
      </c>
      <c r="BA84" s="39">
        <v>6.999723825963357E-3</v>
      </c>
      <c r="BB84" s="39">
        <v>1.1276832561989678E-2</v>
      </c>
      <c r="BC84" s="44"/>
      <c r="BD84" s="44"/>
      <c r="BE84" s="44"/>
      <c r="BG84" s="40">
        <v>7.6862957303588195E-3</v>
      </c>
      <c r="BH84" s="40">
        <v>7.7424000115052724E-3</v>
      </c>
    </row>
    <row r="85" spans="2:60">
      <c r="B85" s="34"/>
      <c r="C85" s="22">
        <v>83</v>
      </c>
      <c r="D85" s="33">
        <f t="shared" si="13"/>
        <v>1010.6625130259738</v>
      </c>
      <c r="E85" s="33">
        <f t="shared" si="9"/>
        <v>966.93323802276291</v>
      </c>
      <c r="F85" s="33">
        <f t="shared" si="10"/>
        <v>866.27177534096484</v>
      </c>
      <c r="G85" s="33">
        <f t="shared" si="14"/>
        <v>646.22964183765919</v>
      </c>
      <c r="H85" s="33">
        <f t="shared" si="14"/>
        <v>616.26280298244785</v>
      </c>
      <c r="I85" s="33">
        <f t="shared" si="14"/>
        <v>548.71516919516102</v>
      </c>
      <c r="J85" s="41">
        <v>2263.0000000000005</v>
      </c>
      <c r="K85" s="41">
        <v>1867.8747466278669</v>
      </c>
      <c r="L85" s="41">
        <v>1487.8553448017931</v>
      </c>
      <c r="M85" s="33">
        <f t="shared" si="15"/>
        <v>0.44660296642773917</v>
      </c>
      <c r="N85" s="33">
        <f t="shared" si="11"/>
        <v>0.44290838715561986</v>
      </c>
      <c r="O85" s="33">
        <f t="shared" si="12"/>
        <v>0.42840198799434542</v>
      </c>
      <c r="P85" s="33">
        <f t="shared" si="16"/>
        <v>0.28556325313197489</v>
      </c>
      <c r="Q85" s="33">
        <f t="shared" si="17"/>
        <v>0.28041772105010326</v>
      </c>
      <c r="R85" s="33">
        <f t="shared" si="18"/>
        <v>0.26558884892358331</v>
      </c>
      <c r="S85" s="41">
        <v>1</v>
      </c>
      <c r="T85" s="41">
        <v>0.86728417994136808</v>
      </c>
      <c r="U85" s="41">
        <v>0.74296049963054778</v>
      </c>
      <c r="V85" s="38">
        <v>1010.6625130259738</v>
      </c>
      <c r="W85" s="38">
        <v>953.33536733189396</v>
      </c>
      <c r="X85" s="38">
        <v>845.0882014437085</v>
      </c>
      <c r="Y85" s="38">
        <v>646.22964183765919</v>
      </c>
      <c r="Z85" s="38">
        <v>605.84257729300202</v>
      </c>
      <c r="AA85" s="38">
        <v>532.47361543284796</v>
      </c>
      <c r="AB85" s="43"/>
      <c r="AC85" s="43"/>
      <c r="AD85" s="43"/>
      <c r="AE85" s="38">
        <v>0.44660296642773917</v>
      </c>
      <c r="AF85" s="38">
        <v>0.43535401454958161</v>
      </c>
      <c r="AG85" s="38">
        <v>0.41663333582920298</v>
      </c>
      <c r="AH85" s="38">
        <v>0.28556325313197489</v>
      </c>
      <c r="AI85" s="38">
        <v>0.27462870677818896</v>
      </c>
      <c r="AJ85" s="38">
        <v>0.25626236424039267</v>
      </c>
      <c r="AK85" s="44"/>
      <c r="AL85" s="44"/>
      <c r="AM85" s="44"/>
      <c r="AN85" s="39">
        <v>0</v>
      </c>
      <c r="AO85" s="39">
        <v>13.597870690868891</v>
      </c>
      <c r="AP85" s="39">
        <v>21.183573897256373</v>
      </c>
      <c r="AQ85" s="39">
        <v>0</v>
      </c>
      <c r="AR85" s="39">
        <v>10.420225689445793</v>
      </c>
      <c r="AS85" s="39">
        <v>16.241553762313092</v>
      </c>
      <c r="AT85" s="43"/>
      <c r="AU85" s="43"/>
      <c r="AV85" s="43"/>
      <c r="AW85" s="39">
        <v>0</v>
      </c>
      <c r="AX85" s="39">
        <v>7.5543726060382744E-3</v>
      </c>
      <c r="AY85" s="39">
        <v>1.176865216514243E-2</v>
      </c>
      <c r="AZ85" s="39">
        <v>0</v>
      </c>
      <c r="BA85" s="39">
        <v>5.7890142719143282E-3</v>
      </c>
      <c r="BB85" s="39">
        <v>9.3264846831906285E-3</v>
      </c>
      <c r="BC85" s="44"/>
      <c r="BD85" s="44"/>
      <c r="BE85" s="44"/>
      <c r="BG85" s="40">
        <v>7.5822554973540611E-3</v>
      </c>
      <c r="BH85" s="40">
        <v>7.6376002932117574E-3</v>
      </c>
    </row>
    <row r="86" spans="2:60">
      <c r="B86" s="34"/>
      <c r="C86" s="22">
        <v>84</v>
      </c>
      <c r="D86" s="33">
        <f t="shared" si="13"/>
        <v>1328.970527334604</v>
      </c>
      <c r="E86" s="33">
        <f t="shared" ref="E86:E101" si="19">W86+$A$5*AO86</f>
        <v>1273.4641341871359</v>
      </c>
      <c r="F86" s="33">
        <f t="shared" ref="F86:F101" si="20">X86+$A$5*AP86</f>
        <v>1144.6406492812878</v>
      </c>
      <c r="G86" s="33">
        <f t="shared" si="14"/>
        <v>404.97762134101225</v>
      </c>
      <c r="H86" s="33">
        <f t="shared" si="14"/>
        <v>386.99531929911069</v>
      </c>
      <c r="I86" s="33">
        <f t="shared" si="14"/>
        <v>346.18499028894945</v>
      </c>
      <c r="J86" s="41">
        <v>2263.0000000000005</v>
      </c>
      <c r="K86" s="41">
        <v>1867.8747466278669</v>
      </c>
      <c r="L86" s="41">
        <v>1487.8553448017931</v>
      </c>
      <c r="M86" s="33">
        <f t="shared" si="15"/>
        <v>0.58726050699717369</v>
      </c>
      <c r="N86" s="33">
        <f t="shared" si="11"/>
        <v>0.58306734324817677</v>
      </c>
      <c r="O86" s="33">
        <f t="shared" si="12"/>
        <v>0.56504261679499657</v>
      </c>
      <c r="P86" s="33">
        <f t="shared" si="16"/>
        <v>0.1789560854357102</v>
      </c>
      <c r="Q86" s="33">
        <f t="shared" si="17"/>
        <v>0.17603889102003817</v>
      </c>
      <c r="R86" s="33">
        <f t="shared" si="18"/>
        <v>0.16731706181267153</v>
      </c>
      <c r="S86" s="41">
        <v>1</v>
      </c>
      <c r="T86" s="41">
        <v>0.86728417994136808</v>
      </c>
      <c r="U86" s="41">
        <v>0.74296049963054778</v>
      </c>
      <c r="V86" s="38">
        <v>1328.970527334604</v>
      </c>
      <c r="W86" s="38">
        <v>1255.1946007828217</v>
      </c>
      <c r="X86" s="38">
        <v>1116.1761640550096</v>
      </c>
      <c r="Y86" s="38">
        <v>404.97762134101225</v>
      </c>
      <c r="Z86" s="38">
        <v>380.39625703910087</v>
      </c>
      <c r="AA86" s="38">
        <v>335.89819248928575</v>
      </c>
      <c r="AB86" s="43"/>
      <c r="AC86" s="43"/>
      <c r="AD86" s="43"/>
      <c r="AE86" s="38">
        <v>0.58726050699717369</v>
      </c>
      <c r="AF86" s="38">
        <v>0.57291760246800227</v>
      </c>
      <c r="AG86" s="38">
        <v>0.54922901389150869</v>
      </c>
      <c r="AH86" s="38">
        <v>0.1789560854357102</v>
      </c>
      <c r="AI86" s="38">
        <v>0.17237274532003272</v>
      </c>
      <c r="AJ86" s="38">
        <v>0.1614100123073304</v>
      </c>
      <c r="AK86" s="44"/>
      <c r="AL86" s="44"/>
      <c r="AM86" s="44"/>
      <c r="AN86" s="39">
        <v>0</v>
      </c>
      <c r="AO86" s="39">
        <v>18.269533404314181</v>
      </c>
      <c r="AP86" s="39">
        <v>28.464485226278114</v>
      </c>
      <c r="AQ86" s="39">
        <v>0</v>
      </c>
      <c r="AR86" s="39">
        <v>6.599062260009803</v>
      </c>
      <c r="AS86" s="39">
        <v>10.286797799663711</v>
      </c>
      <c r="AT86" s="43"/>
      <c r="AU86" s="43"/>
      <c r="AV86" s="43"/>
      <c r="AW86" s="39">
        <v>0</v>
      </c>
      <c r="AX86" s="39">
        <v>1.0149740780174547E-2</v>
      </c>
      <c r="AY86" s="39">
        <v>1.5813602903487843E-2</v>
      </c>
      <c r="AZ86" s="39">
        <v>0</v>
      </c>
      <c r="BA86" s="39">
        <v>3.6661457000054451E-3</v>
      </c>
      <c r="BB86" s="39">
        <v>5.9070495053411137E-3</v>
      </c>
      <c r="BC86" s="44"/>
      <c r="BD86" s="44"/>
      <c r="BE86" s="44"/>
      <c r="BG86" s="40">
        <v>7.5812752186182218E-3</v>
      </c>
      <c r="BH86" s="40">
        <v>7.6366124033222082E-3</v>
      </c>
    </row>
    <row r="87" spans="2:60">
      <c r="B87" s="34"/>
      <c r="C87" s="22">
        <v>85</v>
      </c>
      <c r="D87" s="33">
        <f t="shared" si="13"/>
        <v>1754.6082999321918</v>
      </c>
      <c r="E87" s="33">
        <f t="shared" si="19"/>
        <v>1679.7594282696332</v>
      </c>
      <c r="F87" s="33">
        <f t="shared" si="20"/>
        <v>1505.2287704495827</v>
      </c>
      <c r="G87" s="33">
        <f t="shared" si="14"/>
        <v>882.21540968909881</v>
      </c>
      <c r="H87" s="33">
        <f t="shared" si="14"/>
        <v>842.98653834593165</v>
      </c>
      <c r="I87" s="33">
        <f t="shared" si="14"/>
        <v>753.03956179221996</v>
      </c>
      <c r="J87" s="41">
        <v>2263.0000000000005</v>
      </c>
      <c r="K87" s="41">
        <v>1867.8747466278669</v>
      </c>
      <c r="L87" s="41">
        <v>1487.8553448017931</v>
      </c>
      <c r="M87" s="33">
        <f t="shared" si="15"/>
        <v>0.77534613342120706</v>
      </c>
      <c r="N87" s="33">
        <f t="shared" si="11"/>
        <v>0.76927397398174469</v>
      </c>
      <c r="O87" s="33">
        <f t="shared" si="12"/>
        <v>0.74369450729967357</v>
      </c>
      <c r="P87" s="33">
        <f t="shared" si="16"/>
        <v>0.38984330962841307</v>
      </c>
      <c r="Q87" s="33">
        <f t="shared" si="17"/>
        <v>0.38303699167924726</v>
      </c>
      <c r="R87" s="33">
        <f t="shared" si="18"/>
        <v>0.36262179064267486</v>
      </c>
      <c r="S87" s="41">
        <v>1</v>
      </c>
      <c r="T87" s="41">
        <v>0.86728417994136808</v>
      </c>
      <c r="U87" s="41">
        <v>0.74296049963054778</v>
      </c>
      <c r="V87" s="38">
        <v>1754.6082999321918</v>
      </c>
      <c r="W87" s="38">
        <v>1654.7933618099867</v>
      </c>
      <c r="X87" s="38">
        <v>1466.2684624152007</v>
      </c>
      <c r="Y87" s="38">
        <v>882.21540968909881</v>
      </c>
      <c r="Z87" s="38">
        <v>827.95478063148573</v>
      </c>
      <c r="AA87" s="38">
        <v>729.57006542458998</v>
      </c>
      <c r="AB87" s="43"/>
      <c r="AC87" s="43"/>
      <c r="AD87" s="43"/>
      <c r="AE87" s="38">
        <v>0.77534613342120706</v>
      </c>
      <c r="AF87" s="38">
        <v>0.75540393705971887</v>
      </c>
      <c r="AG87" s="38">
        <v>0.72204989172501688</v>
      </c>
      <c r="AH87" s="38">
        <v>0.38984330962841307</v>
      </c>
      <c r="AI87" s="38">
        <v>0.37468601517122174</v>
      </c>
      <c r="AJ87" s="38">
        <v>0.34914476119104648</v>
      </c>
      <c r="AK87" s="44"/>
      <c r="AL87" s="44"/>
      <c r="AM87" s="44"/>
      <c r="AN87" s="39">
        <v>0</v>
      </c>
      <c r="AO87" s="39">
        <v>24.966066459646498</v>
      </c>
      <c r="AP87" s="39">
        <v>38.960308034382038</v>
      </c>
      <c r="AQ87" s="39">
        <v>0</v>
      </c>
      <c r="AR87" s="39">
        <v>15.0317577144459</v>
      </c>
      <c r="AS87" s="39">
        <v>23.46949636762999</v>
      </c>
      <c r="AT87" s="43"/>
      <c r="AU87" s="43"/>
      <c r="AV87" s="43"/>
      <c r="AW87" s="39">
        <v>0</v>
      </c>
      <c r="AX87" s="39">
        <v>1.3870036922025836E-2</v>
      </c>
      <c r="AY87" s="39">
        <v>2.1644615574656693E-2</v>
      </c>
      <c r="AZ87" s="39">
        <v>0</v>
      </c>
      <c r="BA87" s="39">
        <v>8.3509765080254962E-3</v>
      </c>
      <c r="BB87" s="39">
        <v>1.3477029451628375E-2</v>
      </c>
      <c r="BC87" s="44"/>
      <c r="BD87" s="44"/>
      <c r="BE87" s="44"/>
      <c r="BG87" s="40">
        <v>7.751114139395129E-3</v>
      </c>
      <c r="BH87" s="40">
        <v>7.807684193929942E-3</v>
      </c>
    </row>
    <row r="88" spans="2:60">
      <c r="B88" s="34"/>
      <c r="C88" s="22">
        <v>86</v>
      </c>
      <c r="D88" s="33">
        <f t="shared" si="13"/>
        <v>1982.7060650243561</v>
      </c>
      <c r="E88" s="33">
        <f t="shared" si="19"/>
        <v>1896.6139689219406</v>
      </c>
      <c r="F88" s="33">
        <f t="shared" si="20"/>
        <v>1698.7984273920681</v>
      </c>
      <c r="G88" s="33">
        <f t="shared" si="14"/>
        <v>1007.9202116941893</v>
      </c>
      <c r="H88" s="33">
        <f t="shared" si="14"/>
        <v>960.73499942159128</v>
      </c>
      <c r="I88" s="33">
        <f t="shared" si="14"/>
        <v>854.83686071707257</v>
      </c>
      <c r="J88" s="41">
        <v>2263.0000000000005</v>
      </c>
      <c r="K88" s="41">
        <v>1867.8747466278669</v>
      </c>
      <c r="L88" s="41">
        <v>1487.8553448017931</v>
      </c>
      <c r="M88" s="33">
        <f t="shared" si="15"/>
        <v>0.87614055016542469</v>
      </c>
      <c r="N88" s="33">
        <f t="shared" si="11"/>
        <v>0.86870633933278862</v>
      </c>
      <c r="O88" s="33">
        <f t="shared" si="12"/>
        <v>0.84002425851664297</v>
      </c>
      <c r="P88" s="33">
        <f t="shared" si="16"/>
        <v>0.44539116734166562</v>
      </c>
      <c r="Q88" s="33">
        <f t="shared" si="17"/>
        <v>0.43728634700424412</v>
      </c>
      <c r="R88" s="33">
        <f t="shared" si="18"/>
        <v>0.41419008471695351</v>
      </c>
      <c r="S88" s="41">
        <v>1</v>
      </c>
      <c r="T88" s="41">
        <v>0.86728417994136808</v>
      </c>
      <c r="U88" s="41">
        <v>0.74296049963054778</v>
      </c>
      <c r="V88" s="38">
        <v>1982.7060650243561</v>
      </c>
      <c r="W88" s="38">
        <v>1870.1471337499645</v>
      </c>
      <c r="X88" s="38">
        <v>1657.5921051092396</v>
      </c>
      <c r="Y88" s="38">
        <v>1007.9202116941893</v>
      </c>
      <c r="Z88" s="38">
        <v>944.73829041514364</v>
      </c>
      <c r="AA88" s="38">
        <v>829.91877091189031</v>
      </c>
      <c r="AB88" s="43"/>
      <c r="AC88" s="43"/>
      <c r="AD88" s="43"/>
      <c r="AE88" s="38">
        <v>0.87614055016542469</v>
      </c>
      <c r="AF88" s="38">
        <v>0.85400254201502424</v>
      </c>
      <c r="AG88" s="38">
        <v>0.81713185724840487</v>
      </c>
      <c r="AH88" s="38">
        <v>0.44539116734166562</v>
      </c>
      <c r="AI88" s="38">
        <v>0.42839928644510655</v>
      </c>
      <c r="AJ88" s="38">
        <v>0.39988122078044658</v>
      </c>
      <c r="AK88" s="44"/>
      <c r="AL88" s="44"/>
      <c r="AM88" s="44"/>
      <c r="AN88" s="39">
        <v>0</v>
      </c>
      <c r="AO88" s="39">
        <v>26.46683517197598</v>
      </c>
      <c r="AP88" s="39">
        <v>41.206322282828623</v>
      </c>
      <c r="AQ88" s="39">
        <v>0</v>
      </c>
      <c r="AR88" s="39">
        <v>15.99670900644765</v>
      </c>
      <c r="AS88" s="39">
        <v>24.918089805182223</v>
      </c>
      <c r="AT88" s="43"/>
      <c r="AU88" s="43"/>
      <c r="AV88" s="43"/>
      <c r="AW88" s="39">
        <v>0</v>
      </c>
      <c r="AX88" s="39">
        <v>1.4703797317764436E-2</v>
      </c>
      <c r="AY88" s="39">
        <v>2.2892401268238122E-2</v>
      </c>
      <c r="AZ88" s="39">
        <v>0</v>
      </c>
      <c r="BA88" s="39">
        <v>8.8870605591375822E-3</v>
      </c>
      <c r="BB88" s="39">
        <v>1.430886393650695E-2</v>
      </c>
      <c r="BC88" s="44"/>
      <c r="BD88" s="44"/>
      <c r="BE88" s="44"/>
      <c r="BG88" s="40">
        <v>7.5642518622149324E-3</v>
      </c>
      <c r="BH88" s="40">
        <v>7.6194677950873939E-3</v>
      </c>
    </row>
    <row r="89" spans="2:60">
      <c r="B89" s="34"/>
      <c r="C89" s="22">
        <v>87</v>
      </c>
      <c r="D89" s="33">
        <f t="shared" si="13"/>
        <v>793.87677009687388</v>
      </c>
      <c r="E89" s="33">
        <f t="shared" si="19"/>
        <v>759.84059241755415</v>
      </c>
      <c r="F89" s="33">
        <f t="shared" si="20"/>
        <v>681.5606403508084</v>
      </c>
      <c r="G89" s="33">
        <f t="shared" si="14"/>
        <v>554.50864918237585</v>
      </c>
      <c r="H89" s="33">
        <f t="shared" si="14"/>
        <v>528.8276845651543</v>
      </c>
      <c r="I89" s="33">
        <f t="shared" si="14"/>
        <v>471.08409439001372</v>
      </c>
      <c r="J89" s="41">
        <v>2263.0000000000005</v>
      </c>
      <c r="K89" s="41">
        <v>1867.8747466278669</v>
      </c>
      <c r="L89" s="41">
        <v>1487.8553448017931</v>
      </c>
      <c r="M89" s="33">
        <f t="shared" si="15"/>
        <v>0.35080723380330264</v>
      </c>
      <c r="N89" s="33">
        <f t="shared" si="11"/>
        <v>0.34781062354660119</v>
      </c>
      <c r="O89" s="33">
        <f t="shared" si="12"/>
        <v>0.33629949257257002</v>
      </c>
      <c r="P89" s="33">
        <f t="shared" si="16"/>
        <v>0.24503254493255666</v>
      </c>
      <c r="Q89" s="33">
        <f t="shared" si="17"/>
        <v>0.24059902505935457</v>
      </c>
      <c r="R89" s="33">
        <f t="shared" si="18"/>
        <v>0.22791658353837282</v>
      </c>
      <c r="S89" s="41">
        <v>1</v>
      </c>
      <c r="T89" s="41">
        <v>0.86728417994136808</v>
      </c>
      <c r="U89" s="41">
        <v>0.74296049963054778</v>
      </c>
      <c r="V89" s="38">
        <v>793.87677009687388</v>
      </c>
      <c r="W89" s="38">
        <v>749.28873452813343</v>
      </c>
      <c r="X89" s="38">
        <v>665.17518152055936</v>
      </c>
      <c r="Y89" s="38">
        <v>554.50864918237585</v>
      </c>
      <c r="Z89" s="38">
        <v>520.01835014454707</v>
      </c>
      <c r="AA89" s="38">
        <v>457.39749327115402</v>
      </c>
      <c r="AB89" s="43"/>
      <c r="AC89" s="43"/>
      <c r="AD89" s="43"/>
      <c r="AE89" s="38">
        <v>0.35080723380330264</v>
      </c>
      <c r="AF89" s="38">
        <v>0.34194848027470082</v>
      </c>
      <c r="AG89" s="38">
        <v>0.32719645988909835</v>
      </c>
      <c r="AH89" s="38">
        <v>0.24503254493255666</v>
      </c>
      <c r="AI89" s="38">
        <v>0.23570495038123943</v>
      </c>
      <c r="AJ89" s="38">
        <v>0.22005724461255041</v>
      </c>
      <c r="AK89" s="44"/>
      <c r="AL89" s="44"/>
      <c r="AM89" s="44"/>
      <c r="AN89" s="39">
        <v>0</v>
      </c>
      <c r="AO89" s="39">
        <v>10.551857889420694</v>
      </c>
      <c r="AP89" s="39">
        <v>16.38545883024906</v>
      </c>
      <c r="AQ89" s="39">
        <v>0</v>
      </c>
      <c r="AR89" s="39">
        <v>8.8093344206072821</v>
      </c>
      <c r="AS89" s="39">
        <v>13.686601118859704</v>
      </c>
      <c r="AT89" s="43"/>
      <c r="AU89" s="43"/>
      <c r="AV89" s="43"/>
      <c r="AW89" s="39">
        <v>0</v>
      </c>
      <c r="AX89" s="39">
        <v>5.862143271900387E-3</v>
      </c>
      <c r="AY89" s="39">
        <v>9.1030326834716999E-3</v>
      </c>
      <c r="AZ89" s="39">
        <v>0</v>
      </c>
      <c r="BA89" s="39">
        <v>4.8940746781151552E-3</v>
      </c>
      <c r="BB89" s="39">
        <v>7.859338925822414E-3</v>
      </c>
      <c r="BC89" s="44"/>
      <c r="BD89" s="44"/>
      <c r="BE89" s="44"/>
      <c r="BG89" s="40">
        <v>7.4682375459549852E-3</v>
      </c>
      <c r="BH89" s="40">
        <v>7.5227633343180516E-3</v>
      </c>
    </row>
    <row r="90" spans="2:60">
      <c r="B90" s="34"/>
      <c r="C90" s="22">
        <v>88</v>
      </c>
      <c r="D90" s="33">
        <f t="shared" si="13"/>
        <v>1553.181790921798</v>
      </c>
      <c r="E90" s="33">
        <f t="shared" si="19"/>
        <v>1489.2197423009768</v>
      </c>
      <c r="F90" s="33">
        <f t="shared" si="20"/>
        <v>1341.2952387501109</v>
      </c>
      <c r="G90" s="33">
        <f t="shared" si="14"/>
        <v>805.75626278210291</v>
      </c>
      <c r="H90" s="33">
        <f t="shared" si="14"/>
        <v>768.93429793400128</v>
      </c>
      <c r="I90" s="33">
        <f t="shared" si="14"/>
        <v>686.06463651998365</v>
      </c>
      <c r="J90" s="41">
        <v>2263.0000000000005</v>
      </c>
      <c r="K90" s="41">
        <v>1867.8747466278669</v>
      </c>
      <c r="L90" s="41">
        <v>1487.8553448017931</v>
      </c>
      <c r="M90" s="33">
        <f t="shared" si="15"/>
        <v>0.68633751255934494</v>
      </c>
      <c r="N90" s="33">
        <f t="shared" si="11"/>
        <v>0.68068391592572008</v>
      </c>
      <c r="O90" s="33">
        <f t="shared" si="12"/>
        <v>0.65848064357400138</v>
      </c>
      <c r="P90" s="33">
        <f t="shared" si="16"/>
        <v>0.3560566782068505</v>
      </c>
      <c r="Q90" s="33">
        <f t="shared" si="17"/>
        <v>0.34956767774787023</v>
      </c>
      <c r="R90" s="33">
        <f t="shared" si="18"/>
        <v>0.33106189972902855</v>
      </c>
      <c r="S90" s="41">
        <v>1</v>
      </c>
      <c r="T90" s="41">
        <v>0.86728417994136808</v>
      </c>
      <c r="U90" s="41">
        <v>0.74296049963054778</v>
      </c>
      <c r="V90" s="38">
        <v>1553.181790921798</v>
      </c>
      <c r="W90" s="38">
        <v>1468.4008327929785</v>
      </c>
      <c r="X90" s="38">
        <v>1308.9083688111079</v>
      </c>
      <c r="Y90" s="38">
        <v>805.75626278210291</v>
      </c>
      <c r="Z90" s="38">
        <v>756.13002128691869</v>
      </c>
      <c r="AA90" s="38">
        <v>666.13549973415536</v>
      </c>
      <c r="AB90" s="43"/>
      <c r="AC90" s="43"/>
      <c r="AD90" s="43"/>
      <c r="AE90" s="38">
        <v>0.68633751255934494</v>
      </c>
      <c r="AF90" s="38">
        <v>0.6691178550879433</v>
      </c>
      <c r="AG90" s="38">
        <v>0.64048793805233306</v>
      </c>
      <c r="AH90" s="38">
        <v>0.3560566782068505</v>
      </c>
      <c r="AI90" s="38">
        <v>0.34245419072171324</v>
      </c>
      <c r="AJ90" s="38">
        <v>0.31961787216231086</v>
      </c>
      <c r="AK90" s="44"/>
      <c r="AL90" s="44"/>
      <c r="AM90" s="44"/>
      <c r="AN90" s="39">
        <v>0</v>
      </c>
      <c r="AO90" s="39">
        <v>20.818909507998246</v>
      </c>
      <c r="AP90" s="39">
        <v>32.386869939002921</v>
      </c>
      <c r="AQ90" s="39">
        <v>0</v>
      </c>
      <c r="AR90" s="39">
        <v>12.804276647082633</v>
      </c>
      <c r="AS90" s="39">
        <v>19.92913678582828</v>
      </c>
      <c r="AT90" s="43"/>
      <c r="AU90" s="43"/>
      <c r="AV90" s="43"/>
      <c r="AW90" s="39">
        <v>0</v>
      </c>
      <c r="AX90" s="39">
        <v>1.1566060837776808E-2</v>
      </c>
      <c r="AY90" s="39">
        <v>1.799270552166829E-2</v>
      </c>
      <c r="AZ90" s="39">
        <v>0</v>
      </c>
      <c r="BA90" s="39">
        <v>7.1134870261570166E-3</v>
      </c>
      <c r="BB90" s="39">
        <v>1.1444027566717687E-2</v>
      </c>
      <c r="BC90" s="44"/>
      <c r="BD90" s="44"/>
      <c r="BE90" s="44"/>
      <c r="BG90" s="40">
        <v>7.5214905118967E-3</v>
      </c>
      <c r="BH90" s="40">
        <v>7.5763976461386742E-3</v>
      </c>
    </row>
    <row r="91" spans="2:60">
      <c r="B91" s="34"/>
      <c r="C91" s="22">
        <v>89</v>
      </c>
      <c r="D91" s="33">
        <f t="shared" si="13"/>
        <v>1556.3612531937965</v>
      </c>
      <c r="E91" s="33">
        <f t="shared" si="19"/>
        <v>1489.152676177446</v>
      </c>
      <c r="F91" s="33">
        <f t="shared" si="20"/>
        <v>1335.0298635793938</v>
      </c>
      <c r="G91" s="33">
        <f t="shared" si="14"/>
        <v>640.15325429463701</v>
      </c>
      <c r="H91" s="33">
        <f t="shared" si="14"/>
        <v>610.9130332238534</v>
      </c>
      <c r="I91" s="33">
        <f t="shared" si="14"/>
        <v>545.16380954886051</v>
      </c>
      <c r="J91" s="41">
        <v>2263.0000000000005</v>
      </c>
      <c r="K91" s="41">
        <v>1867.8747466278669</v>
      </c>
      <c r="L91" s="41">
        <v>1487.8553448017931</v>
      </c>
      <c r="M91" s="33">
        <f t="shared" si="15"/>
        <v>0.68774248925930026</v>
      </c>
      <c r="N91" s="33">
        <f t="shared" si="11"/>
        <v>0.68156745222521375</v>
      </c>
      <c r="O91" s="33">
        <f t="shared" si="12"/>
        <v>0.65856754139093554</v>
      </c>
      <c r="P91" s="33">
        <f t="shared" si="16"/>
        <v>0.28287815037323766</v>
      </c>
      <c r="Q91" s="33">
        <f t="shared" si="17"/>
        <v>0.27776307129735001</v>
      </c>
      <c r="R91" s="33">
        <f t="shared" si="18"/>
        <v>0.263173275301742</v>
      </c>
      <c r="S91" s="41">
        <v>1</v>
      </c>
      <c r="T91" s="41">
        <v>0.86728417994136808</v>
      </c>
      <c r="U91" s="41">
        <v>0.74296049963054778</v>
      </c>
      <c r="V91" s="38">
        <v>1556.3612531937965</v>
      </c>
      <c r="W91" s="38">
        <v>1468.7094265136336</v>
      </c>
      <c r="X91" s="38">
        <v>1303.3143266996688</v>
      </c>
      <c r="Y91" s="38">
        <v>640.15325429463701</v>
      </c>
      <c r="Z91" s="38">
        <v>600.81031562407145</v>
      </c>
      <c r="AA91" s="38">
        <v>529.48246138282718</v>
      </c>
      <c r="AB91" s="43"/>
      <c r="AC91" s="43"/>
      <c r="AD91" s="43"/>
      <c r="AE91" s="38">
        <v>0.68774248925930026</v>
      </c>
      <c r="AF91" s="38">
        <v>0.67021009130087361</v>
      </c>
      <c r="AG91" s="38">
        <v>0.6409477986799772</v>
      </c>
      <c r="AH91" s="38">
        <v>0.28287815037323766</v>
      </c>
      <c r="AI91" s="38">
        <v>0.27215045040858227</v>
      </c>
      <c r="AJ91" s="38">
        <v>0.25416848083302235</v>
      </c>
      <c r="AK91" s="44"/>
      <c r="AL91" s="44"/>
      <c r="AM91" s="44"/>
      <c r="AN91" s="39">
        <v>0</v>
      </c>
      <c r="AO91" s="39">
        <v>20.443249663812299</v>
      </c>
      <c r="AP91" s="39">
        <v>31.715536879725068</v>
      </c>
      <c r="AQ91" s="39">
        <v>0</v>
      </c>
      <c r="AR91" s="39">
        <v>10.102717599781982</v>
      </c>
      <c r="AS91" s="39">
        <v>15.681348166033374</v>
      </c>
      <c r="AT91" s="43"/>
      <c r="AU91" s="43"/>
      <c r="AV91" s="43"/>
      <c r="AW91" s="39">
        <v>0</v>
      </c>
      <c r="AX91" s="39">
        <v>1.1357360924340169E-2</v>
      </c>
      <c r="AY91" s="39">
        <v>1.7619742710958376E-2</v>
      </c>
      <c r="AZ91" s="39">
        <v>0</v>
      </c>
      <c r="BA91" s="39">
        <v>5.6126208887677656E-3</v>
      </c>
      <c r="BB91" s="39">
        <v>9.0047944687196482E-3</v>
      </c>
      <c r="BC91" s="44"/>
      <c r="BD91" s="44"/>
      <c r="BE91" s="44"/>
      <c r="BG91" s="40">
        <v>7.4467485567603093E-3</v>
      </c>
      <c r="BH91" s="40">
        <v>7.5011213108453715E-3</v>
      </c>
    </row>
    <row r="92" spans="2:60">
      <c r="B92" s="34"/>
      <c r="C92" s="22">
        <v>90</v>
      </c>
      <c r="D92" s="33">
        <f t="shared" si="13"/>
        <v>1132.1428219501001</v>
      </c>
      <c r="E92" s="33">
        <f t="shared" si="19"/>
        <v>1081.8578435235377</v>
      </c>
      <c r="F92" s="33">
        <f t="shared" si="20"/>
        <v>966.95500091284816</v>
      </c>
      <c r="G92" s="33">
        <f t="shared" si="14"/>
        <v>1348.5017424240289</v>
      </c>
      <c r="H92" s="33">
        <f t="shared" si="14"/>
        <v>1283.1354422293225</v>
      </c>
      <c r="I92" s="33">
        <f t="shared" si="14"/>
        <v>1137.3583111021039</v>
      </c>
      <c r="J92" s="41">
        <v>2263.0000000000005</v>
      </c>
      <c r="K92" s="41">
        <v>1867.8747466278669</v>
      </c>
      <c r="L92" s="41">
        <v>1487.8553448017931</v>
      </c>
      <c r="M92" s="33">
        <f t="shared" si="15"/>
        <v>0.50028405742381787</v>
      </c>
      <c r="N92" s="33">
        <f t="shared" si="11"/>
        <v>0.49574568231396188</v>
      </c>
      <c r="O92" s="33">
        <f t="shared" si="12"/>
        <v>0.47897176950243425</v>
      </c>
      <c r="P92" s="33">
        <f t="shared" si="16"/>
        <v>0.59589118092091409</v>
      </c>
      <c r="Q92" s="33">
        <f t="shared" si="17"/>
        <v>0.58426297780732261</v>
      </c>
      <c r="R92" s="33">
        <f t="shared" si="18"/>
        <v>0.55200427177595024</v>
      </c>
      <c r="S92" s="41">
        <v>1</v>
      </c>
      <c r="T92" s="41">
        <v>0.86728417994136808</v>
      </c>
      <c r="U92" s="41">
        <v>0.74296049963054778</v>
      </c>
      <c r="V92" s="38">
        <v>1132.1428219501001</v>
      </c>
      <c r="W92" s="38">
        <v>1067.0589495718809</v>
      </c>
      <c r="X92" s="38">
        <v>944.01003706506879</v>
      </c>
      <c r="Y92" s="38">
        <v>1348.5017424240289</v>
      </c>
      <c r="Z92" s="38">
        <v>1262.1319232347839</v>
      </c>
      <c r="AA92" s="38">
        <v>1104.7766390391071</v>
      </c>
      <c r="AB92" s="43"/>
      <c r="AC92" s="43"/>
      <c r="AD92" s="43"/>
      <c r="AE92" s="38">
        <v>0.50028405742381787</v>
      </c>
      <c r="AF92" s="38">
        <v>0.48752407456304142</v>
      </c>
      <c r="AG92" s="38">
        <v>0.46622456736477902</v>
      </c>
      <c r="AH92" s="38">
        <v>0.59589118092091409</v>
      </c>
      <c r="AI92" s="38">
        <v>0.57259435614369003</v>
      </c>
      <c r="AJ92" s="38">
        <v>0.53329470310442417</v>
      </c>
      <c r="AK92" s="44"/>
      <c r="AL92" s="44"/>
      <c r="AM92" s="44"/>
      <c r="AN92" s="39">
        <v>0</v>
      </c>
      <c r="AO92" s="39">
        <v>14.79889395165679</v>
      </c>
      <c r="AP92" s="39">
        <v>22.944963847779434</v>
      </c>
      <c r="AQ92" s="39">
        <v>0</v>
      </c>
      <c r="AR92" s="39">
        <v>21.00351899453867</v>
      </c>
      <c r="AS92" s="39">
        <v>32.581672062996823</v>
      </c>
      <c r="AT92" s="43"/>
      <c r="AU92" s="43"/>
      <c r="AV92" s="43"/>
      <c r="AW92" s="39">
        <v>0</v>
      </c>
      <c r="AX92" s="39">
        <v>8.221607750920441E-3</v>
      </c>
      <c r="AY92" s="39">
        <v>1.2747202137655242E-2</v>
      </c>
      <c r="AZ92" s="39">
        <v>0</v>
      </c>
      <c r="BA92" s="39">
        <v>1.1668621663632592E-2</v>
      </c>
      <c r="BB92" s="39">
        <v>1.8709568671526098E-2</v>
      </c>
      <c r="BC92" s="44"/>
      <c r="BD92" s="44"/>
      <c r="BE92" s="44"/>
      <c r="BG92" s="40">
        <v>7.4264180417054366E-3</v>
      </c>
      <c r="BH92" s="40">
        <v>7.4806448464277957E-3</v>
      </c>
    </row>
    <row r="93" spans="2:60">
      <c r="B93" s="34"/>
      <c r="C93" s="22">
        <v>91</v>
      </c>
      <c r="D93" s="33">
        <f t="shared" si="13"/>
        <v>1582.2681143621651</v>
      </c>
      <c r="E93" s="33">
        <f t="shared" si="19"/>
        <v>1517.1004757360463</v>
      </c>
      <c r="F93" s="33">
        <f t="shared" si="20"/>
        <v>1366.6616127942598</v>
      </c>
      <c r="G93" s="33">
        <f t="shared" si="14"/>
        <v>680.36398804282578</v>
      </c>
      <c r="H93" s="33">
        <f t="shared" si="14"/>
        <v>650.26792949812454</v>
      </c>
      <c r="I93" s="33">
        <f t="shared" si="14"/>
        <v>582.33416414671478</v>
      </c>
      <c r="J93" s="41">
        <v>2263.0000000000005</v>
      </c>
      <c r="K93" s="41">
        <v>1867.8747466278669</v>
      </c>
      <c r="L93" s="41">
        <v>1487.8553448017931</v>
      </c>
      <c r="M93" s="33">
        <f t="shared" si="15"/>
        <v>0.69919050568367858</v>
      </c>
      <c r="N93" s="33">
        <f t="shared" si="11"/>
        <v>0.69403957770971159</v>
      </c>
      <c r="O93" s="33">
        <f t="shared" si="12"/>
        <v>0.672829524182322</v>
      </c>
      <c r="P93" s="33">
        <f t="shared" si="16"/>
        <v>0.3006469235717304</v>
      </c>
      <c r="Q93" s="33">
        <f t="shared" si="17"/>
        <v>0.29556618842578353</v>
      </c>
      <c r="R93" s="33">
        <f t="shared" si="18"/>
        <v>0.28075601650583015</v>
      </c>
      <c r="S93" s="41">
        <v>1</v>
      </c>
      <c r="T93" s="41">
        <v>0.86728417994136808</v>
      </c>
      <c r="U93" s="41">
        <v>0.74296049963054778</v>
      </c>
      <c r="V93" s="38">
        <v>1582.2681143621651</v>
      </c>
      <c r="W93" s="38">
        <v>1496.1587708120931</v>
      </c>
      <c r="X93" s="38">
        <v>1334.2154642595654</v>
      </c>
      <c r="Y93" s="38">
        <v>680.36398804282578</v>
      </c>
      <c r="Z93" s="38">
        <v>639.51249579015484</v>
      </c>
      <c r="AA93" s="38">
        <v>565.66160041357591</v>
      </c>
      <c r="AB93" s="43"/>
      <c r="AC93" s="43"/>
      <c r="AD93" s="43"/>
      <c r="AE93" s="38">
        <v>0.69919050568367858</v>
      </c>
      <c r="AF93" s="38">
        <v>0.6824052971964043</v>
      </c>
      <c r="AG93" s="38">
        <v>0.65480388610749174</v>
      </c>
      <c r="AH93" s="38">
        <v>0.3006469235717304</v>
      </c>
      <c r="AI93" s="38">
        <v>0.28959094747691144</v>
      </c>
      <c r="AJ93" s="38">
        <v>0.2711820303858905</v>
      </c>
      <c r="AK93" s="44"/>
      <c r="AL93" s="44"/>
      <c r="AM93" s="44"/>
      <c r="AN93" s="39">
        <v>0</v>
      </c>
      <c r="AO93" s="39">
        <v>20.941704923953203</v>
      </c>
      <c r="AP93" s="39">
        <v>32.44614853469453</v>
      </c>
      <c r="AQ93" s="39">
        <v>0</v>
      </c>
      <c r="AR93" s="39">
        <v>10.75543370796972</v>
      </c>
      <c r="AS93" s="39">
        <v>16.672563733138887</v>
      </c>
      <c r="AT93" s="43"/>
      <c r="AU93" s="43"/>
      <c r="AV93" s="43"/>
      <c r="AW93" s="39">
        <v>0</v>
      </c>
      <c r="AX93" s="39">
        <v>1.1634280513307336E-2</v>
      </c>
      <c r="AY93" s="39">
        <v>1.8025638074830295E-2</v>
      </c>
      <c r="AZ93" s="39">
        <v>0</v>
      </c>
      <c r="BA93" s="39">
        <v>5.9752409488720648E-3</v>
      </c>
      <c r="BB93" s="39">
        <v>9.5739861199396637E-3</v>
      </c>
      <c r="BC93" s="44"/>
      <c r="BD93" s="44"/>
      <c r="BE93" s="44"/>
      <c r="BG93" s="40">
        <v>7.40812614918671E-3</v>
      </c>
      <c r="BH93" s="40">
        <v>7.4622222851960605E-3</v>
      </c>
    </row>
    <row r="94" spans="2:60">
      <c r="B94" s="34"/>
      <c r="C94" s="22">
        <v>92</v>
      </c>
      <c r="D94" s="33">
        <f t="shared" si="13"/>
        <v>1011.9635689042013</v>
      </c>
      <c r="E94" s="33">
        <f t="shared" si="19"/>
        <v>970.72384546569401</v>
      </c>
      <c r="F94" s="33">
        <f t="shared" si="20"/>
        <v>875.12808162942963</v>
      </c>
      <c r="G94" s="33">
        <f t="shared" si="14"/>
        <v>327.5434851148035</v>
      </c>
      <c r="H94" s="33">
        <f t="shared" si="14"/>
        <v>312.8415641318922</v>
      </c>
      <c r="I94" s="33">
        <f t="shared" si="14"/>
        <v>279.70754431731945</v>
      </c>
      <c r="J94" s="41">
        <v>2263.0000000000005</v>
      </c>
      <c r="K94" s="41">
        <v>1867.8747466278669</v>
      </c>
      <c r="L94" s="41">
        <v>1487.8553448017931</v>
      </c>
      <c r="M94" s="33">
        <f t="shared" si="15"/>
        <v>0.44717789169430017</v>
      </c>
      <c r="N94" s="33">
        <f t="shared" si="11"/>
        <v>0.4445445534970997</v>
      </c>
      <c r="O94" s="33">
        <f t="shared" si="12"/>
        <v>0.43218559501828235</v>
      </c>
      <c r="P94" s="33">
        <f t="shared" si="16"/>
        <v>0.14473861472152166</v>
      </c>
      <c r="Q94" s="33">
        <f t="shared" si="17"/>
        <v>0.1424445295776271</v>
      </c>
      <c r="R94" s="33">
        <f t="shared" si="18"/>
        <v>0.13562506364609672</v>
      </c>
      <c r="S94" s="41">
        <v>1</v>
      </c>
      <c r="T94" s="41">
        <v>0.86728417994136808</v>
      </c>
      <c r="U94" s="41">
        <v>0.74296049963054778</v>
      </c>
      <c r="V94" s="38">
        <v>1011.9635689042013</v>
      </c>
      <c r="W94" s="38">
        <v>957.16183039075656</v>
      </c>
      <c r="X94" s="38">
        <v>854.14858895452744</v>
      </c>
      <c r="Y94" s="38">
        <v>327.5434851148035</v>
      </c>
      <c r="Z94" s="38">
        <v>307.6747715152074</v>
      </c>
      <c r="AA94" s="38">
        <v>271.71075817502515</v>
      </c>
      <c r="AB94" s="43"/>
      <c r="AC94" s="43"/>
      <c r="AD94" s="43"/>
      <c r="AE94" s="38">
        <v>0.44717789169430017</v>
      </c>
      <c r="AF94" s="38">
        <v>0.43701010067769003</v>
      </c>
      <c r="AG94" s="38">
        <v>0.4205303213100034</v>
      </c>
      <c r="AH94" s="38">
        <v>0.14473861472152166</v>
      </c>
      <c r="AI94" s="38">
        <v>0.13957408923502443</v>
      </c>
      <c r="AJ94" s="38">
        <v>0.13103302124902516</v>
      </c>
      <c r="AK94" s="44"/>
      <c r="AL94" s="44"/>
      <c r="AM94" s="44"/>
      <c r="AN94" s="39">
        <v>0</v>
      </c>
      <c r="AO94" s="39">
        <v>13.562015074937392</v>
      </c>
      <c r="AP94" s="39">
        <v>20.979492674902154</v>
      </c>
      <c r="AQ94" s="39">
        <v>0</v>
      </c>
      <c r="AR94" s="39">
        <v>5.1667926166848117</v>
      </c>
      <c r="AS94" s="39">
        <v>7.9967861422943214</v>
      </c>
      <c r="AT94" s="43"/>
      <c r="AU94" s="43"/>
      <c r="AV94" s="43"/>
      <c r="AW94" s="39">
        <v>0</v>
      </c>
      <c r="AX94" s="39">
        <v>7.5344528194096648E-3</v>
      </c>
      <c r="AY94" s="39">
        <v>1.1655273708278973E-2</v>
      </c>
      <c r="AZ94" s="39">
        <v>0</v>
      </c>
      <c r="BA94" s="39">
        <v>2.8704403426026725E-3</v>
      </c>
      <c r="BB94" s="39">
        <v>4.5920423970715746E-3</v>
      </c>
      <c r="BC94" s="44"/>
      <c r="BD94" s="44"/>
      <c r="BE94" s="44"/>
      <c r="BG94" s="40">
        <v>7.3638708521615078E-3</v>
      </c>
      <c r="BH94" s="40">
        <v>7.4176502147012668E-3</v>
      </c>
    </row>
    <row r="95" spans="2:60">
      <c r="B95" s="34"/>
      <c r="C95" s="22">
        <v>93</v>
      </c>
      <c r="D95" s="33">
        <f t="shared" si="13"/>
        <v>933.03410353231243</v>
      </c>
      <c r="E95" s="33">
        <f t="shared" si="19"/>
        <v>894.13183544996571</v>
      </c>
      <c r="F95" s="33">
        <f t="shared" si="20"/>
        <v>804.17671516809457</v>
      </c>
      <c r="G95" s="33">
        <f t="shared" si="14"/>
        <v>460.73139751715235</v>
      </c>
      <c r="H95" s="33">
        <f t="shared" si="14"/>
        <v>440.09406054078062</v>
      </c>
      <c r="I95" s="33">
        <f t="shared" si="14"/>
        <v>393.53797418057172</v>
      </c>
      <c r="J95" s="41">
        <v>2263.0000000000005</v>
      </c>
      <c r="K95" s="41">
        <v>1867.8747466278669</v>
      </c>
      <c r="L95" s="41">
        <v>1487.8553448017931</v>
      </c>
      <c r="M95" s="33">
        <f t="shared" si="15"/>
        <v>0.41229964804786229</v>
      </c>
      <c r="N95" s="33">
        <f t="shared" si="11"/>
        <v>0.40971127158724013</v>
      </c>
      <c r="O95" s="33">
        <f t="shared" si="12"/>
        <v>0.39798562210305838</v>
      </c>
      <c r="P95" s="33">
        <f t="shared" si="16"/>
        <v>0.20359319377691221</v>
      </c>
      <c r="Q95" s="33">
        <f t="shared" si="17"/>
        <v>0.20033007392050117</v>
      </c>
      <c r="R95" s="33">
        <f t="shared" si="18"/>
        <v>0.19064634020291876</v>
      </c>
      <c r="S95" s="41">
        <v>1</v>
      </c>
      <c r="T95" s="41">
        <v>0.86728417994136808</v>
      </c>
      <c r="U95" s="41">
        <v>0.74296049963054778</v>
      </c>
      <c r="V95" s="38">
        <v>933.03410353231243</v>
      </c>
      <c r="W95" s="38">
        <v>881.58285607360529</v>
      </c>
      <c r="X95" s="38">
        <v>784.69440738717049</v>
      </c>
      <c r="Y95" s="38">
        <v>460.73139751715235</v>
      </c>
      <c r="Z95" s="38">
        <v>432.77463240990744</v>
      </c>
      <c r="AA95" s="38">
        <v>382.16871845020074</v>
      </c>
      <c r="AB95" s="43"/>
      <c r="AC95" s="43"/>
      <c r="AD95" s="43"/>
      <c r="AE95" s="38">
        <v>0.41229964804786229</v>
      </c>
      <c r="AF95" s="38">
        <v>0.40273961637815103</v>
      </c>
      <c r="AG95" s="38">
        <v>0.38716211778032278</v>
      </c>
      <c r="AH95" s="38">
        <v>0.20359319377691221</v>
      </c>
      <c r="AI95" s="38">
        <v>0.19626372495890496</v>
      </c>
      <c r="AJ95" s="38">
        <v>0.18411770439748082</v>
      </c>
      <c r="AK95" s="44"/>
      <c r="AL95" s="44"/>
      <c r="AM95" s="44"/>
      <c r="AN95" s="39">
        <v>0</v>
      </c>
      <c r="AO95" s="39">
        <v>12.548979376360402</v>
      </c>
      <c r="AP95" s="39">
        <v>19.482307780924113</v>
      </c>
      <c r="AQ95" s="39">
        <v>0</v>
      </c>
      <c r="AR95" s="39">
        <v>7.3194281308732014</v>
      </c>
      <c r="AS95" s="39">
        <v>11.369255730371007</v>
      </c>
      <c r="AT95" s="43"/>
      <c r="AU95" s="43"/>
      <c r="AV95" s="43"/>
      <c r="AW95" s="39">
        <v>0</v>
      </c>
      <c r="AX95" s="39">
        <v>6.9716552090891134E-3</v>
      </c>
      <c r="AY95" s="39">
        <v>1.0823504322735622E-2</v>
      </c>
      <c r="AZ95" s="39">
        <v>0</v>
      </c>
      <c r="BA95" s="39">
        <v>4.0663489615962219E-3</v>
      </c>
      <c r="BB95" s="39">
        <v>6.5286358054379356E-3</v>
      </c>
      <c r="BC95" s="44"/>
      <c r="BD95" s="44"/>
      <c r="BE95" s="44"/>
      <c r="BG95" s="40">
        <v>7.4818090256035296E-3</v>
      </c>
      <c r="BH95" s="40">
        <v>7.5364348281072068E-3</v>
      </c>
    </row>
    <row r="96" spans="2:60">
      <c r="B96" s="34"/>
      <c r="C96" s="22">
        <v>94</v>
      </c>
      <c r="D96" s="33">
        <f t="shared" si="13"/>
        <v>1356.2384979069752</v>
      </c>
      <c r="E96" s="33">
        <f t="shared" si="19"/>
        <v>1297.8965389855557</v>
      </c>
      <c r="F96" s="33">
        <f t="shared" si="20"/>
        <v>1163.7061017544324</v>
      </c>
      <c r="G96" s="33">
        <f t="shared" si="14"/>
        <v>425.07293464698137</v>
      </c>
      <c r="H96" s="33">
        <f t="shared" si="14"/>
        <v>405.70528991269288</v>
      </c>
      <c r="I96" s="33">
        <f t="shared" si="14"/>
        <v>362.08245976803647</v>
      </c>
      <c r="J96" s="41">
        <v>2263.0000000000005</v>
      </c>
      <c r="K96" s="41">
        <v>1867.8747466278669</v>
      </c>
      <c r="L96" s="41">
        <v>1487.8553448017931</v>
      </c>
      <c r="M96" s="33">
        <f t="shared" si="15"/>
        <v>0.59930998581837192</v>
      </c>
      <c r="N96" s="33">
        <f t="shared" si="11"/>
        <v>0.59442801776439891</v>
      </c>
      <c r="O96" s="33">
        <f t="shared" si="12"/>
        <v>0.57522279766887208</v>
      </c>
      <c r="P96" s="33">
        <f t="shared" si="16"/>
        <v>0.18783602945072086</v>
      </c>
      <c r="Q96" s="33">
        <f t="shared" si="17"/>
        <v>0.18462499381551492</v>
      </c>
      <c r="R96" s="33">
        <f t="shared" si="18"/>
        <v>0.17527995380189215</v>
      </c>
      <c r="S96" s="41">
        <v>1</v>
      </c>
      <c r="T96" s="41">
        <v>0.86728417994136808</v>
      </c>
      <c r="U96" s="41">
        <v>0.74296049963054778</v>
      </c>
      <c r="V96" s="38">
        <v>1356.2384979069752</v>
      </c>
      <c r="W96" s="38">
        <v>1279.8866594249184</v>
      </c>
      <c r="X96" s="38">
        <v>1135.8198021509272</v>
      </c>
      <c r="Y96" s="38">
        <v>425.07293464698137</v>
      </c>
      <c r="Z96" s="38">
        <v>398.96852897783327</v>
      </c>
      <c r="AA96" s="38">
        <v>351.64596407516035</v>
      </c>
      <c r="AB96" s="43"/>
      <c r="AC96" s="43"/>
      <c r="AD96" s="43"/>
      <c r="AE96" s="38">
        <v>0.59930998581837192</v>
      </c>
      <c r="AF96" s="38">
        <v>0.58442252911960035</v>
      </c>
      <c r="AG96" s="38">
        <v>0.55973040900025806</v>
      </c>
      <c r="AH96" s="38">
        <v>0.18783602945072086</v>
      </c>
      <c r="AI96" s="38">
        <v>0.18088234885170404</v>
      </c>
      <c r="AJ96" s="38">
        <v>0.1692869423788316</v>
      </c>
      <c r="AK96" s="44"/>
      <c r="AL96" s="44"/>
      <c r="AM96" s="44"/>
      <c r="AN96" s="39">
        <v>0</v>
      </c>
      <c r="AO96" s="39">
        <v>18.009879560637373</v>
      </c>
      <c r="AP96" s="39">
        <v>27.886299603505186</v>
      </c>
      <c r="AQ96" s="39">
        <v>0</v>
      </c>
      <c r="AR96" s="39">
        <v>6.7367609348595989</v>
      </c>
      <c r="AS96" s="39">
        <v>10.436495692876143</v>
      </c>
      <c r="AT96" s="43"/>
      <c r="AU96" s="43"/>
      <c r="AV96" s="43"/>
      <c r="AW96" s="39">
        <v>0</v>
      </c>
      <c r="AX96" s="39">
        <v>1.0005488644798543E-2</v>
      </c>
      <c r="AY96" s="39">
        <v>1.5492388668613993E-2</v>
      </c>
      <c r="AZ96" s="39">
        <v>0</v>
      </c>
      <c r="BA96" s="39">
        <v>3.7426449638108873E-3</v>
      </c>
      <c r="BB96" s="39">
        <v>5.9930114230605435E-3</v>
      </c>
      <c r="BC96" s="44"/>
      <c r="BD96" s="44"/>
      <c r="BE96" s="44"/>
      <c r="BG96" s="40">
        <v>7.3830788861455384E-3</v>
      </c>
      <c r="BH96" s="40">
        <v>7.4369946711138352E-3</v>
      </c>
    </row>
    <row r="97" spans="2:60">
      <c r="B97" s="34"/>
      <c r="C97" s="22">
        <v>95</v>
      </c>
      <c r="D97" s="33">
        <f t="shared" si="13"/>
        <v>990.1326212569918</v>
      </c>
      <c r="E97" s="33">
        <f t="shared" si="19"/>
        <v>948.40845919162689</v>
      </c>
      <c r="F97" s="33">
        <f t="shared" si="20"/>
        <v>853.02627337619504</v>
      </c>
      <c r="G97" s="33">
        <f t="shared" si="14"/>
        <v>513.92030586430144</v>
      </c>
      <c r="H97" s="33">
        <f t="shared" si="14"/>
        <v>489.26461737559123</v>
      </c>
      <c r="I97" s="33">
        <f t="shared" si="14"/>
        <v>434.43045531309258</v>
      </c>
      <c r="J97" s="41">
        <v>2263.0000000000005</v>
      </c>
      <c r="K97" s="41">
        <v>1867.8747466278669</v>
      </c>
      <c r="L97" s="41">
        <v>1487.8553448017931</v>
      </c>
      <c r="M97" s="33">
        <f t="shared" si="15"/>
        <v>0.43753098597304091</v>
      </c>
      <c r="N97" s="33">
        <f t="shared" si="11"/>
        <v>0.43349438353204972</v>
      </c>
      <c r="O97" s="33">
        <f t="shared" si="12"/>
        <v>0.41893490391865795</v>
      </c>
      <c r="P97" s="33">
        <f t="shared" si="16"/>
        <v>0.22709690935232058</v>
      </c>
      <c r="Q97" s="33">
        <f t="shared" si="17"/>
        <v>0.22262054733972803</v>
      </c>
      <c r="R97" s="33">
        <f t="shared" si="18"/>
        <v>0.21034174963272545</v>
      </c>
      <c r="S97" s="41">
        <v>1</v>
      </c>
      <c r="T97" s="41">
        <v>0.86728417994136808</v>
      </c>
      <c r="U97" s="41">
        <v>0.74296049963054778</v>
      </c>
      <c r="V97" s="38">
        <v>990.1326212569918</v>
      </c>
      <c r="W97" s="38">
        <v>935.82168505040443</v>
      </c>
      <c r="X97" s="38">
        <v>833.60072439675446</v>
      </c>
      <c r="Y97" s="38">
        <v>513.92030586430144</v>
      </c>
      <c r="Z97" s="38">
        <v>481.4339695072436</v>
      </c>
      <c r="AA97" s="38">
        <v>422.33893886794226</v>
      </c>
      <c r="AB97" s="43"/>
      <c r="AC97" s="43"/>
      <c r="AD97" s="43"/>
      <c r="AE97" s="38">
        <v>0.43753098597304091</v>
      </c>
      <c r="AF97" s="38">
        <v>0.42650173123137058</v>
      </c>
      <c r="AG97" s="38">
        <v>0.40814293226341319</v>
      </c>
      <c r="AH97" s="38">
        <v>0.22709690935232058</v>
      </c>
      <c r="AI97" s="38">
        <v>0.21827018741286822</v>
      </c>
      <c r="AJ97" s="38">
        <v>0.2033983657316164</v>
      </c>
      <c r="AK97" s="44"/>
      <c r="AL97" s="44"/>
      <c r="AM97" s="44"/>
      <c r="AN97" s="39">
        <v>0</v>
      </c>
      <c r="AO97" s="39">
        <v>12.586774141222433</v>
      </c>
      <c r="AP97" s="39">
        <v>19.425548979440531</v>
      </c>
      <c r="AQ97" s="39">
        <v>0</v>
      </c>
      <c r="AR97" s="39">
        <v>7.8306478683476461</v>
      </c>
      <c r="AS97" s="39">
        <v>12.09151644515029</v>
      </c>
      <c r="AT97" s="43"/>
      <c r="AU97" s="43"/>
      <c r="AV97" s="43"/>
      <c r="AW97" s="39">
        <v>0</v>
      </c>
      <c r="AX97" s="39">
        <v>6.992652300679132E-3</v>
      </c>
      <c r="AY97" s="39">
        <v>1.079197165524474E-2</v>
      </c>
      <c r="AZ97" s="39">
        <v>0</v>
      </c>
      <c r="BA97" s="39">
        <v>4.3503599268598031E-3</v>
      </c>
      <c r="BB97" s="39">
        <v>6.9433839011090468E-3</v>
      </c>
      <c r="BC97" s="44"/>
      <c r="BD97" s="44"/>
      <c r="BE97" s="44"/>
      <c r="BG97" s="40">
        <v>7.287867182007024E-3</v>
      </c>
      <c r="BH97" s="40">
        <v>7.3411009114903239E-3</v>
      </c>
    </row>
    <row r="98" spans="2:60">
      <c r="B98" s="34"/>
      <c r="C98" s="22">
        <v>96</v>
      </c>
      <c r="D98" s="33">
        <f t="shared" si="13"/>
        <v>1140.8531184263295</v>
      </c>
      <c r="E98" s="33">
        <f t="shared" si="19"/>
        <v>1094.6540508984608</v>
      </c>
      <c r="F98" s="33">
        <f t="shared" si="20"/>
        <v>988.36304711427579</v>
      </c>
      <c r="G98" s="33">
        <f t="shared" si="14"/>
        <v>483.63182155309676</v>
      </c>
      <c r="H98" s="33">
        <f t="shared" si="14"/>
        <v>461.89165297371972</v>
      </c>
      <c r="I98" s="33">
        <f t="shared" si="14"/>
        <v>413.23245631854354</v>
      </c>
      <c r="J98" s="41">
        <v>2263.0000000000005</v>
      </c>
      <c r="K98" s="41">
        <v>1867.8747466278669</v>
      </c>
      <c r="L98" s="41">
        <v>1487.8553448017931</v>
      </c>
      <c r="M98" s="33">
        <f t="shared" si="15"/>
        <v>0.50413306161128124</v>
      </c>
      <c r="N98" s="33">
        <f t="shared" si="11"/>
        <v>0.50043933873968638</v>
      </c>
      <c r="O98" s="33">
        <f t="shared" si="12"/>
        <v>0.48549341104541743</v>
      </c>
      <c r="P98" s="33">
        <f t="shared" si="16"/>
        <v>0.21371269180428487</v>
      </c>
      <c r="Q98" s="33">
        <f t="shared" si="17"/>
        <v>0.2100902389229255</v>
      </c>
      <c r="R98" s="33">
        <f t="shared" si="18"/>
        <v>0.19971916570348058</v>
      </c>
      <c r="S98" s="41">
        <v>1</v>
      </c>
      <c r="T98" s="41">
        <v>0.86728417994136808</v>
      </c>
      <c r="U98" s="41">
        <v>0.74296049963054778</v>
      </c>
      <c r="V98" s="38">
        <v>1140.8531184263295</v>
      </c>
      <c r="W98" s="38">
        <v>1079.9590306773209</v>
      </c>
      <c r="X98" s="38">
        <v>965.65941668356629</v>
      </c>
      <c r="Y98" s="38">
        <v>483.63182155309676</v>
      </c>
      <c r="Z98" s="38">
        <v>454.49390834913874</v>
      </c>
      <c r="AA98" s="38">
        <v>401.79713349590287</v>
      </c>
      <c r="AB98" s="43"/>
      <c r="AC98" s="43"/>
      <c r="AD98" s="43"/>
      <c r="AE98" s="38">
        <v>0.50413306161128124</v>
      </c>
      <c r="AF98" s="38">
        <v>0.49227543861683087</v>
      </c>
      <c r="AG98" s="38">
        <v>0.47288028302835661</v>
      </c>
      <c r="AH98" s="38">
        <v>0.21371269180428487</v>
      </c>
      <c r="AI98" s="38">
        <v>0.20598038079815828</v>
      </c>
      <c r="AJ98" s="38">
        <v>0.19315259179599076</v>
      </c>
      <c r="AK98" s="44"/>
      <c r="AL98" s="44"/>
      <c r="AM98" s="44"/>
      <c r="AN98" s="39">
        <v>0</v>
      </c>
      <c r="AO98" s="39">
        <v>14.695020221139846</v>
      </c>
      <c r="AP98" s="39">
        <v>22.703630430709509</v>
      </c>
      <c r="AQ98" s="39">
        <v>0</v>
      </c>
      <c r="AR98" s="39">
        <v>7.3977446245810086</v>
      </c>
      <c r="AS98" s="39">
        <v>11.43532282264068</v>
      </c>
      <c r="AT98" s="43"/>
      <c r="AU98" s="43"/>
      <c r="AV98" s="43"/>
      <c r="AW98" s="39">
        <v>0</v>
      </c>
      <c r="AX98" s="39">
        <v>8.1639001228554706E-3</v>
      </c>
      <c r="AY98" s="39">
        <v>1.2613128017060838E-2</v>
      </c>
      <c r="AZ98" s="39">
        <v>0</v>
      </c>
      <c r="BA98" s="39">
        <v>4.1098581247672262E-3</v>
      </c>
      <c r="BB98" s="39">
        <v>6.5665739074898359E-3</v>
      </c>
      <c r="BC98" s="44"/>
      <c r="BD98" s="44"/>
      <c r="BE98" s="44"/>
      <c r="BG98" s="40">
        <v>7.3275168486992507E-3</v>
      </c>
      <c r="BH98" s="40">
        <v>7.3810358228720719E-3</v>
      </c>
    </row>
    <row r="99" spans="2:60">
      <c r="B99" s="34"/>
      <c r="C99" s="22">
        <v>97</v>
      </c>
      <c r="D99" s="33">
        <f t="shared" si="13"/>
        <v>2210.2708452016118</v>
      </c>
      <c r="E99" s="33">
        <f t="shared" si="19"/>
        <v>2119.6349660294977</v>
      </c>
      <c r="F99" s="33">
        <f t="shared" si="20"/>
        <v>1911.3547426552975</v>
      </c>
      <c r="G99" s="33">
        <f t="shared" si="14"/>
        <v>868.59021069882215</v>
      </c>
      <c r="H99" s="33">
        <f t="shared" si="14"/>
        <v>829.03802533874193</v>
      </c>
      <c r="I99" s="33">
        <f t="shared" si="14"/>
        <v>740.43529268924033</v>
      </c>
      <c r="J99" s="41">
        <v>2263.0000000000005</v>
      </c>
      <c r="K99" s="41">
        <v>1867.8747466278669</v>
      </c>
      <c r="L99" s="41">
        <v>1487.8553448017931</v>
      </c>
      <c r="M99" s="33">
        <f t="shared" si="15"/>
        <v>0.97669944551551524</v>
      </c>
      <c r="N99" s="33">
        <f t="shared" si="11"/>
        <v>0.9693152376608043</v>
      </c>
      <c r="O99" s="33">
        <f t="shared" si="12"/>
        <v>0.93987854297575701</v>
      </c>
      <c r="P99" s="33">
        <f t="shared" si="16"/>
        <v>0.38382245280548921</v>
      </c>
      <c r="Q99" s="33">
        <f t="shared" si="17"/>
        <v>0.37724692971946006</v>
      </c>
      <c r="R99" s="33">
        <f t="shared" si="18"/>
        <v>0.35838299416877012</v>
      </c>
      <c r="S99" s="41">
        <v>1</v>
      </c>
      <c r="T99" s="41">
        <v>0.86728417994136808</v>
      </c>
      <c r="U99" s="41">
        <v>0.74296049963054778</v>
      </c>
      <c r="V99" s="38">
        <v>2210.2708452016118</v>
      </c>
      <c r="W99" s="38">
        <v>2091.1320859187658</v>
      </c>
      <c r="X99" s="38">
        <v>1867.2846179883275</v>
      </c>
      <c r="Y99" s="38">
        <v>868.59021069882215</v>
      </c>
      <c r="Z99" s="38">
        <v>815.62031409438566</v>
      </c>
      <c r="AA99" s="38">
        <v>719.67861805599136</v>
      </c>
      <c r="AB99" s="43"/>
      <c r="AC99" s="43"/>
      <c r="AD99" s="43"/>
      <c r="AE99" s="38">
        <v>0.97669944551551524</v>
      </c>
      <c r="AF99" s="38">
        <v>0.95348030426595309</v>
      </c>
      <c r="AG99" s="38">
        <v>0.91539514038299585</v>
      </c>
      <c r="AH99" s="38">
        <v>0.38382245280548921</v>
      </c>
      <c r="AI99" s="38">
        <v>0.36979264569481768</v>
      </c>
      <c r="AJ99" s="38">
        <v>0.34646376458802847</v>
      </c>
      <c r="AK99" s="44"/>
      <c r="AL99" s="44"/>
      <c r="AM99" s="44"/>
      <c r="AN99" s="39">
        <v>0</v>
      </c>
      <c r="AO99" s="39">
        <v>28.502880110732068</v>
      </c>
      <c r="AP99" s="39">
        <v>44.070124666970024</v>
      </c>
      <c r="AQ99" s="39">
        <v>0</v>
      </c>
      <c r="AR99" s="39">
        <v>13.417711244356244</v>
      </c>
      <c r="AS99" s="39">
        <v>20.756674633248977</v>
      </c>
      <c r="AT99" s="43"/>
      <c r="AU99" s="43"/>
      <c r="AV99" s="43"/>
      <c r="AW99" s="39">
        <v>0</v>
      </c>
      <c r="AX99" s="39">
        <v>1.5834933394851154E-2</v>
      </c>
      <c r="AY99" s="39">
        <v>2.4483402592761126E-2</v>
      </c>
      <c r="AZ99" s="39">
        <v>0</v>
      </c>
      <c r="BA99" s="39">
        <v>7.4542840246423561E-3</v>
      </c>
      <c r="BB99" s="39">
        <v>1.1919229580741651E-2</v>
      </c>
      <c r="BC99" s="44"/>
      <c r="BD99" s="44"/>
      <c r="BE99" s="44"/>
      <c r="BG99" s="40">
        <v>7.3465027034182017E-3</v>
      </c>
      <c r="BH99" s="40">
        <v>7.4001572437333712E-3</v>
      </c>
    </row>
    <row r="100" spans="2:60">
      <c r="C100" s="22">
        <v>98</v>
      </c>
      <c r="D100" s="33">
        <f t="shared" si="13"/>
        <v>605.43716529300627</v>
      </c>
      <c r="E100" s="33">
        <f t="shared" si="19"/>
        <v>584.92418875040426</v>
      </c>
      <c r="F100" s="33">
        <f t="shared" si="20"/>
        <v>536.79224806663149</v>
      </c>
      <c r="G100" s="33">
        <f t="shared" si="14"/>
        <v>278.49084604232564</v>
      </c>
      <c r="H100" s="33">
        <f t="shared" si="14"/>
        <v>266.04435629349354</v>
      </c>
      <c r="I100" s="33">
        <f t="shared" si="14"/>
        <v>238.15592544129103</v>
      </c>
      <c r="J100" s="41">
        <v>2263.0000000000005</v>
      </c>
      <c r="K100" s="41">
        <v>1867.8747466278669</v>
      </c>
      <c r="L100" s="41">
        <v>1487.8553448017931</v>
      </c>
      <c r="M100" s="33">
        <f t="shared" si="15"/>
        <v>0.26753741285594612</v>
      </c>
      <c r="N100" s="33">
        <f t="shared" si="11"/>
        <v>0.26604722023960881</v>
      </c>
      <c r="O100" s="33">
        <f t="shared" si="12"/>
        <v>0.25908599518303171</v>
      </c>
      <c r="P100" s="33">
        <f t="shared" si="16"/>
        <v>0.12306268053129722</v>
      </c>
      <c r="Q100" s="33">
        <f t="shared" si="17"/>
        <v>0.12089091196056295</v>
      </c>
      <c r="R100" s="33">
        <f t="shared" si="18"/>
        <v>0.11473505442208587</v>
      </c>
      <c r="S100" s="41">
        <v>1</v>
      </c>
      <c r="T100" s="41">
        <v>0.86728417994136808</v>
      </c>
      <c r="U100" s="41">
        <v>0.74296049963054778</v>
      </c>
      <c r="V100" s="38">
        <v>605.43716529300627</v>
      </c>
      <c r="W100" s="38">
        <v>577.15270105819957</v>
      </c>
      <c r="X100" s="38">
        <v>524.82869870130719</v>
      </c>
      <c r="Y100" s="38">
        <v>278.49084604232564</v>
      </c>
      <c r="Z100" s="38">
        <v>261.7899675536122</v>
      </c>
      <c r="AA100" s="38">
        <v>231.60326237960925</v>
      </c>
      <c r="AB100" s="43"/>
      <c r="AC100" s="43"/>
      <c r="AD100" s="43"/>
      <c r="AE100" s="38">
        <v>0.26753741285594612</v>
      </c>
      <c r="AF100" s="38">
        <v>0.26172972707727282</v>
      </c>
      <c r="AG100" s="38">
        <v>0.25243957886896268</v>
      </c>
      <c r="AH100" s="38">
        <v>0.12306268053129722</v>
      </c>
      <c r="AI100" s="38">
        <v>0.11852736266062887</v>
      </c>
      <c r="AJ100" s="38">
        <v>0.11097227947005563</v>
      </c>
      <c r="AK100" s="44"/>
      <c r="AL100" s="44"/>
      <c r="AM100" s="44"/>
      <c r="AN100" s="39">
        <v>0</v>
      </c>
      <c r="AO100" s="39">
        <v>7.7714876922047358</v>
      </c>
      <c r="AP100" s="39">
        <v>11.963549365324274</v>
      </c>
      <c r="AQ100" s="39">
        <v>0</v>
      </c>
      <c r="AR100" s="39">
        <v>4.2543887398813576</v>
      </c>
      <c r="AS100" s="39">
        <v>6.5526630616817902</v>
      </c>
      <c r="AT100" s="43"/>
      <c r="AU100" s="43"/>
      <c r="AV100" s="43"/>
      <c r="AW100" s="39">
        <v>0</v>
      </c>
      <c r="AX100" s="39">
        <v>4.3174931623359654E-3</v>
      </c>
      <c r="AY100" s="39">
        <v>6.6464163140690421E-3</v>
      </c>
      <c r="AZ100" s="39">
        <v>0</v>
      </c>
      <c r="BA100" s="39">
        <v>2.3635492999340866E-3</v>
      </c>
      <c r="BB100" s="39">
        <v>3.7627749520302411E-3</v>
      </c>
      <c r="BC100" s="44"/>
      <c r="BD100" s="44"/>
      <c r="BE100" s="44"/>
      <c r="BG100" s="40">
        <v>7.2278746984705145E-3</v>
      </c>
      <c r="BH100" s="40">
        <v>7.2806804480690119E-3</v>
      </c>
    </row>
    <row r="101" spans="2:60">
      <c r="C101" s="22">
        <v>99</v>
      </c>
      <c r="D101" s="33">
        <f t="shared" si="13"/>
        <v>1383.6149524523123</v>
      </c>
      <c r="E101" s="33">
        <f t="shared" si="19"/>
        <v>1334.5100626736323</v>
      </c>
      <c r="F101" s="33">
        <f t="shared" si="20"/>
        <v>1219.5651097529535</v>
      </c>
      <c r="G101" s="33">
        <f t="shared" si="14"/>
        <v>1152.0148634627856</v>
      </c>
      <c r="H101" s="33">
        <f t="shared" si="14"/>
        <v>1098.3093179615614</v>
      </c>
      <c r="I101" s="33">
        <f t="shared" si="14"/>
        <v>978.45424687278683</v>
      </c>
      <c r="J101" s="41">
        <v>2263.0000000000005</v>
      </c>
      <c r="K101" s="41">
        <v>1867.8747466278669</v>
      </c>
      <c r="L101" s="41">
        <v>1487.8553448017931</v>
      </c>
      <c r="M101" s="33">
        <f t="shared" si="15"/>
        <v>0.61140740276284222</v>
      </c>
      <c r="N101" s="33">
        <f t="shared" si="11"/>
        <v>0.60742619691397581</v>
      </c>
      <c r="O101" s="33">
        <f t="shared" si="12"/>
        <v>0.59013526684427775</v>
      </c>
      <c r="P101" s="33">
        <f t="shared" si="16"/>
        <v>0.5090653395770155</v>
      </c>
      <c r="Q101" s="33">
        <f t="shared" si="17"/>
        <v>0.49909259426742997</v>
      </c>
      <c r="R101" s="33">
        <f t="shared" si="18"/>
        <v>0.47163087728115105</v>
      </c>
      <c r="S101" s="41">
        <v>1</v>
      </c>
      <c r="T101" s="41">
        <v>0.86728417994136808</v>
      </c>
      <c r="U101" s="41">
        <v>0.74296049963054778</v>
      </c>
      <c r="V101" s="38">
        <v>1383.6149524523123</v>
      </c>
      <c r="W101" s="38">
        <v>1316.4817777739224</v>
      </c>
      <c r="X101" s="38">
        <v>1191.7492134651109</v>
      </c>
      <c r="Y101" s="38">
        <v>1152.0148634627856</v>
      </c>
      <c r="Z101" s="38">
        <v>1080.6834920560048</v>
      </c>
      <c r="AA101" s="38">
        <v>951.24525830501727</v>
      </c>
      <c r="AB101" s="43"/>
      <c r="AC101" s="43"/>
      <c r="AD101" s="43"/>
      <c r="AE101" s="38">
        <v>0.61140740276284222</v>
      </c>
      <c r="AF101" s="38">
        <v>0.59741048308080369</v>
      </c>
      <c r="AG101" s="38">
        <v>0.57468199112880958</v>
      </c>
      <c r="AH101" s="38">
        <v>0.5090653395770155</v>
      </c>
      <c r="AI101" s="38">
        <v>0.48930046876434291</v>
      </c>
      <c r="AJ101" s="38">
        <v>0.45600649682863265</v>
      </c>
      <c r="AK101" s="44"/>
      <c r="AL101" s="44"/>
      <c r="AM101" s="44"/>
      <c r="AN101" s="39">
        <v>0</v>
      </c>
      <c r="AO101" s="39">
        <v>18.028284899709806</v>
      </c>
      <c r="AP101" s="39">
        <v>27.815896287842737</v>
      </c>
      <c r="AQ101" s="39">
        <v>0</v>
      </c>
      <c r="AR101" s="39">
        <v>17.625825905556734</v>
      </c>
      <c r="AS101" s="39">
        <v>27.20898856776957</v>
      </c>
      <c r="AT101" s="43"/>
      <c r="AU101" s="43"/>
      <c r="AV101" s="43"/>
      <c r="AW101" s="39">
        <v>0</v>
      </c>
      <c r="AX101" s="39">
        <v>1.0015713833172114E-2</v>
      </c>
      <c r="AY101" s="39">
        <v>1.5453275715468191E-2</v>
      </c>
      <c r="AZ101" s="39">
        <v>0</v>
      </c>
      <c r="BA101" s="39">
        <v>9.792125503087069E-3</v>
      </c>
      <c r="BB101" s="39">
        <v>1.5624380452518427E-2</v>
      </c>
      <c r="BC101" s="44"/>
      <c r="BD101" s="44"/>
      <c r="BE101" s="44"/>
      <c r="BG101" s="40">
        <v>7.2482898463818697E-3</v>
      </c>
      <c r="BH101" s="40">
        <v>7.3012356024169962E-3</v>
      </c>
    </row>
    <row r="102" spans="2:60">
      <c r="C102" s="22"/>
    </row>
    <row r="103" spans="2:60">
      <c r="C103" s="22"/>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FFC000"/>
  </sheetPr>
  <dimension ref="A1:G100"/>
  <sheetViews>
    <sheetView workbookViewId="0">
      <selection activeCell="B27" sqref="B27"/>
    </sheetView>
  </sheetViews>
  <sheetFormatPr baseColWidth="10" defaultRowHeight="15"/>
  <cols>
    <col min="1" max="1" width="11.42578125" style="34"/>
    <col min="2" max="2" width="11.42578125" style="10"/>
    <col min="3" max="4" width="56.28515625" bestFit="1" customWidth="1"/>
    <col min="5" max="5" width="23.85546875" style="37" bestFit="1" customWidth="1"/>
    <col min="6" max="7" width="52.140625" bestFit="1" customWidth="1"/>
  </cols>
  <sheetData>
    <row r="1" spans="1:7">
      <c r="C1" s="126" t="s">
        <v>105</v>
      </c>
      <c r="D1" s="52"/>
      <c r="E1" s="52"/>
      <c r="F1" s="52"/>
      <c r="G1" s="52"/>
    </row>
    <row r="2" spans="1:7">
      <c r="C2" s="52"/>
      <c r="D2" s="52"/>
      <c r="E2" s="52"/>
      <c r="F2" s="52"/>
      <c r="G2" s="52"/>
    </row>
    <row r="3" spans="1:7">
      <c r="A3" s="34" t="s">
        <v>33</v>
      </c>
      <c r="C3" t="s">
        <v>19</v>
      </c>
      <c r="D3" t="s">
        <v>20</v>
      </c>
      <c r="E3"/>
      <c r="F3" t="s">
        <v>18</v>
      </c>
      <c r="G3" t="s">
        <v>18</v>
      </c>
    </row>
    <row r="4" spans="1:7">
      <c r="A4" s="22">
        <v>0</v>
      </c>
      <c r="B4" s="32"/>
      <c r="C4" s="48">
        <v>-3.487707261291606E-2</v>
      </c>
      <c r="D4" s="48">
        <v>-4.9742710120066591E-2</v>
      </c>
      <c r="F4" s="48">
        <v>-0.14369501466275147</v>
      </c>
      <c r="G4" s="48">
        <v>-0.27859237536656734</v>
      </c>
    </row>
    <row r="5" spans="1:7">
      <c r="A5" s="22">
        <v>1</v>
      </c>
      <c r="C5" s="48">
        <v>-6.0209453437081284E-2</v>
      </c>
      <c r="D5" s="48">
        <v>-0.10195962725221797</v>
      </c>
      <c r="F5" s="48">
        <v>-0.1661711608350559</v>
      </c>
      <c r="G5" s="48">
        <v>-0.31823393618926388</v>
      </c>
    </row>
    <row r="6" spans="1:7">
      <c r="A6" s="22">
        <v>2</v>
      </c>
      <c r="C6" s="48">
        <v>-9.1427932552237023E-2</v>
      </c>
      <c r="D6" s="48">
        <v>-0.15515778868969121</v>
      </c>
      <c r="F6" s="48">
        <v>-0.19386974569131732</v>
      </c>
      <c r="G6" s="48">
        <v>-0.35862042907512481</v>
      </c>
    </row>
    <row r="7" spans="1:7">
      <c r="A7" s="22">
        <v>3</v>
      </c>
      <c r="C7" s="48">
        <v>-8.9163936238995545E-2</v>
      </c>
      <c r="D7" s="48">
        <v>-0.15598605381654385</v>
      </c>
      <c r="F7" s="48">
        <v>-0.19186101574117254</v>
      </c>
      <c r="G7" s="48">
        <v>-0.35924922380692315</v>
      </c>
    </row>
    <row r="8" spans="1:7">
      <c r="A8" s="22">
        <v>4</v>
      </c>
      <c r="C8" s="48">
        <v>-6.448113741945749E-2</v>
      </c>
      <c r="D8" s="48">
        <v>-0.1109183954731241</v>
      </c>
      <c r="F8" s="48">
        <v>-0.16996121097902783</v>
      </c>
      <c r="G8" s="48">
        <v>-0.32503517178168118</v>
      </c>
    </row>
    <row r="9" spans="1:7">
      <c r="A9" s="22">
        <v>6</v>
      </c>
      <c r="C9" s="48">
        <v>-8.3146515692465561E-2</v>
      </c>
      <c r="D9" s="48">
        <v>-0.14505220756208648</v>
      </c>
      <c r="F9" s="48">
        <v>-0.1865220614311609</v>
      </c>
      <c r="G9" s="48">
        <v>-0.35094856656541773</v>
      </c>
    </row>
    <row r="10" spans="1:7">
      <c r="A10" s="22">
        <v>7</v>
      </c>
      <c r="C10" s="48">
        <v>-8.0374011742865514E-2</v>
      </c>
      <c r="D10" s="48">
        <v>-0.14464531695629501</v>
      </c>
      <c r="F10" s="48">
        <v>-0.18406215825557548</v>
      </c>
      <c r="G10" s="48">
        <v>-0.35063966708257688</v>
      </c>
    </row>
    <row r="11" spans="1:7">
      <c r="A11" s="22">
        <v>8</v>
      </c>
      <c r="C11" s="48">
        <v>-7.6864804382083762E-2</v>
      </c>
      <c r="D11" s="48">
        <v>-0.13443085226680385</v>
      </c>
      <c r="F11" s="48">
        <v>-0.18094861523183337</v>
      </c>
      <c r="G11" s="48">
        <v>-0.34288514334776921</v>
      </c>
    </row>
    <row r="12" spans="1:7">
      <c r="A12" s="22">
        <v>9</v>
      </c>
      <c r="C12" s="48">
        <v>-7.5626969188139048E-2</v>
      </c>
      <c r="D12" s="48">
        <v>-0.1326198883825187</v>
      </c>
      <c r="F12" s="48">
        <v>-0.17985034638180153</v>
      </c>
      <c r="G12" s="48">
        <v>-0.34151031237517637</v>
      </c>
    </row>
    <row r="13" spans="1:7">
      <c r="A13" s="22">
        <v>10</v>
      </c>
      <c r="C13" s="48">
        <v>-2.752148579074587E-2</v>
      </c>
      <c r="D13" s="48">
        <v>-3.8159893996374539E-2</v>
      </c>
      <c r="F13" s="48">
        <v>-0.13716877278498596</v>
      </c>
      <c r="G13" s="48">
        <v>-0.26979903912453307</v>
      </c>
    </row>
    <row r="14" spans="1:7">
      <c r="A14" s="22">
        <v>12</v>
      </c>
      <c r="C14" s="48">
        <v>-2.7449542538326654E-2</v>
      </c>
      <c r="D14" s="48">
        <v>-3.8079414700073255E-2</v>
      </c>
      <c r="F14" s="48">
        <v>-0.13710494115902427</v>
      </c>
      <c r="G14" s="48">
        <v>-0.26973794158958631</v>
      </c>
    </row>
    <row r="15" spans="1:7">
      <c r="A15" s="22">
        <v>13</v>
      </c>
      <c r="C15" s="48">
        <v>-2.7489517819192621E-2</v>
      </c>
      <c r="D15" s="48">
        <v>-3.8129088582473547E-2</v>
      </c>
      <c r="F15" s="48">
        <v>-0.13714040921322168</v>
      </c>
      <c r="G15" s="48">
        <v>-0.26977565255259639</v>
      </c>
    </row>
    <row r="16" spans="1:7">
      <c r="A16" s="22">
        <v>14</v>
      </c>
      <c r="C16" s="48">
        <v>-1.7724669102710644E-2</v>
      </c>
      <c r="D16" s="48">
        <v>-3.1658761856035111E-2</v>
      </c>
      <c r="F16" s="48">
        <v>-0.12847655054847584</v>
      </c>
      <c r="G16" s="48">
        <v>-0.26486356917893239</v>
      </c>
    </row>
    <row r="17" spans="1:7">
      <c r="A17" s="22">
        <v>15</v>
      </c>
      <c r="C17" s="48">
        <v>-3.1537706801672782E-2</v>
      </c>
      <c r="D17" s="48">
        <v>-5.565042671758258E-2</v>
      </c>
      <c r="F17" s="48">
        <v>-0.14073216349541462</v>
      </c>
      <c r="G17" s="48">
        <v>-0.28307734153626651</v>
      </c>
    </row>
    <row r="18" spans="1:7">
      <c r="A18" s="22">
        <v>16</v>
      </c>
      <c r="C18" s="48">
        <v>-1.6467776968656422E-2</v>
      </c>
      <c r="D18" s="48">
        <v>-4.1351103120700672E-2</v>
      </c>
      <c r="F18" s="48">
        <v>-0.12736137343488707</v>
      </c>
      <c r="G18" s="48">
        <v>-0.27222171203491885</v>
      </c>
    </row>
    <row r="19" spans="1:7">
      <c r="A19" s="22">
        <v>17</v>
      </c>
      <c r="C19" s="48">
        <v>-8.4299430330362246E-2</v>
      </c>
      <c r="D19" s="48">
        <v>-0.14989076152875902</v>
      </c>
      <c r="F19" s="48">
        <v>-0.18754498454705038</v>
      </c>
      <c r="G19" s="48">
        <v>-0.35462185564294624</v>
      </c>
    </row>
    <row r="20" spans="1:7">
      <c r="A20" s="22">
        <v>18</v>
      </c>
      <c r="C20" s="48">
        <v>-7.3081955886618477E-2</v>
      </c>
      <c r="D20" s="48">
        <v>-0.10791328206876516</v>
      </c>
      <c r="F20" s="48">
        <v>-0.17759228420547157</v>
      </c>
      <c r="G20" s="48">
        <v>-0.32275377731527655</v>
      </c>
    </row>
    <row r="21" spans="1:7">
      <c r="A21" s="22">
        <v>19</v>
      </c>
      <c r="C21" s="48">
        <v>-6.8838407449132388E-2</v>
      </c>
      <c r="D21" s="48">
        <v>-0.11667729408667571</v>
      </c>
      <c r="F21" s="48">
        <v>-0.17382719731402518</v>
      </c>
      <c r="G21" s="48">
        <v>-0.32940715967754042</v>
      </c>
    </row>
    <row r="22" spans="1:7">
      <c r="A22" s="22">
        <v>20</v>
      </c>
      <c r="C22" s="48">
        <v>-2.8647051999863282E-2</v>
      </c>
      <c r="D22" s="48">
        <v>-3.6322141469312341E-2</v>
      </c>
      <c r="F22" s="48">
        <v>-0.13816743101684847</v>
      </c>
      <c r="G22" s="48">
        <v>-0.26840387099551033</v>
      </c>
    </row>
    <row r="23" spans="1:7">
      <c r="A23" s="22">
        <v>21</v>
      </c>
      <c r="C23" s="48">
        <v>-2.2347586326984747E-2</v>
      </c>
      <c r="D23" s="48">
        <v>-2.6083911258531489E-2</v>
      </c>
      <c r="F23" s="48">
        <v>-0.13257823226550292</v>
      </c>
      <c r="G23" s="48">
        <v>-0.2606313051699507</v>
      </c>
    </row>
    <row r="24" spans="1:7">
      <c r="A24" s="22">
        <v>22</v>
      </c>
      <c r="C24" s="48">
        <v>-2.6285215169860043E-2</v>
      </c>
      <c r="D24" s="48">
        <v>-3.2753403377598911E-2</v>
      </c>
      <c r="F24" s="48">
        <v>-0.13607189210186243</v>
      </c>
      <c r="G24" s="48">
        <v>-0.26569458910196431</v>
      </c>
    </row>
    <row r="25" spans="1:7">
      <c r="A25" s="22">
        <v>23</v>
      </c>
      <c r="C25" s="48">
        <v>-3.3479650068386491E-2</v>
      </c>
      <c r="D25" s="48">
        <v>-4.4609467344734144E-2</v>
      </c>
      <c r="F25" s="48">
        <v>-0.14245515199080883</v>
      </c>
      <c r="G25" s="48">
        <v>-0.27469536713873555</v>
      </c>
    </row>
    <row r="26" spans="1:7">
      <c r="A26" s="22">
        <v>24</v>
      </c>
      <c r="C26" s="48">
        <v>-3.254335725913482E-2</v>
      </c>
      <c r="D26" s="48">
        <v>-4.563683965522658E-2</v>
      </c>
      <c r="F26" s="48">
        <v>-0.14162442651787011</v>
      </c>
      <c r="G26" s="48">
        <v>-0.27547531823831628</v>
      </c>
    </row>
    <row r="27" spans="1:7">
      <c r="A27" s="22">
        <v>25</v>
      </c>
      <c r="C27" s="48">
        <v>-2.7001971498489374E-2</v>
      </c>
      <c r="D27" s="48">
        <v>-3.556992309910223E-2</v>
      </c>
      <c r="F27" s="48">
        <v>-0.13670783390788599</v>
      </c>
      <c r="G27" s="48">
        <v>-0.26783280874380433</v>
      </c>
    </row>
    <row r="28" spans="1:7">
      <c r="A28" s="22">
        <v>26</v>
      </c>
      <c r="C28" s="48">
        <v>-3.0783640493487363E-2</v>
      </c>
      <c r="D28" s="48">
        <v>-4.2451510843674933E-2</v>
      </c>
      <c r="F28" s="48">
        <v>-0.14006311842286401</v>
      </c>
      <c r="G28" s="48">
        <v>-0.2730571094899169</v>
      </c>
    </row>
    <row r="29" spans="1:7">
      <c r="A29" s="22">
        <v>27</v>
      </c>
      <c r="C29" s="48">
        <v>-3.2031275985875629E-2</v>
      </c>
      <c r="D29" s="48">
        <v>-4.3099753620949977E-2</v>
      </c>
      <c r="F29" s="48">
        <v>-0.14117008258431862</v>
      </c>
      <c r="G29" s="48">
        <v>-0.27354923650343221</v>
      </c>
    </row>
    <row r="30" spans="1:7">
      <c r="A30" s="22">
        <v>28</v>
      </c>
      <c r="C30" s="48">
        <v>-2.1295452313693786E-2</v>
      </c>
      <c r="D30" s="48">
        <v>-2.4750111378281092E-2</v>
      </c>
      <c r="F30" s="48">
        <v>-0.13164472672412797</v>
      </c>
      <c r="G30" s="48">
        <v>-0.2596187231949475</v>
      </c>
    </row>
    <row r="31" spans="1:7">
      <c r="A31" s="22">
        <v>29</v>
      </c>
      <c r="C31" s="48">
        <v>-3.7010711121799877E-2</v>
      </c>
      <c r="D31" s="48">
        <v>-5.391914168002987E-2</v>
      </c>
      <c r="F31" s="48">
        <v>-0.14558808469582096</v>
      </c>
      <c r="G31" s="48">
        <v>-0.28176300042064928</v>
      </c>
    </row>
    <row r="32" spans="1:7">
      <c r="A32" s="22">
        <v>30</v>
      </c>
      <c r="C32" s="48">
        <v>-3.9556430329514614E-2</v>
      </c>
      <c r="D32" s="48">
        <v>-5.8893420103709238E-2</v>
      </c>
      <c r="F32" s="48">
        <v>-0.14784677318717898</v>
      </c>
      <c r="G32" s="48">
        <v>-0.28553932754816358</v>
      </c>
    </row>
    <row r="33" spans="1:7">
      <c r="A33" s="22">
        <v>31</v>
      </c>
      <c r="C33" s="48">
        <v>-3.8345198347857434E-2</v>
      </c>
      <c r="D33" s="48">
        <v>-5.6478962002007416E-2</v>
      </c>
      <c r="F33" s="48">
        <v>-0.14677210802809804</v>
      </c>
      <c r="G33" s="48">
        <v>-0.28370634136381578</v>
      </c>
    </row>
    <row r="34" spans="1:7">
      <c r="A34" s="22">
        <v>32</v>
      </c>
      <c r="C34" s="48">
        <v>-4.1665027394371501E-2</v>
      </c>
      <c r="D34" s="48">
        <v>-6.2034389330296813E-2</v>
      </c>
      <c r="F34" s="48">
        <v>-0.14971762520764931</v>
      </c>
      <c r="G34" s="48">
        <v>-0.28792385979319957</v>
      </c>
    </row>
    <row r="35" spans="1:7">
      <c r="A35" s="22">
        <v>33</v>
      </c>
      <c r="C35" s="48">
        <v>-2.9955249523966998E-2</v>
      </c>
      <c r="D35" s="48">
        <v>-4.1078909082877924E-2</v>
      </c>
      <c r="F35" s="48">
        <v>-0.13932812882011025</v>
      </c>
      <c r="G35" s="48">
        <v>-0.27201507025867955</v>
      </c>
    </row>
    <row r="36" spans="1:7">
      <c r="A36" s="22">
        <v>34</v>
      </c>
      <c r="C36" s="48">
        <v>-4.8854914269571226E-2</v>
      </c>
      <c r="D36" s="48">
        <v>-7.3893276372640315E-2</v>
      </c>
      <c r="F36" s="48">
        <v>-0.15609684986446348</v>
      </c>
      <c r="G36" s="48">
        <v>-0.29692678102634706</v>
      </c>
    </row>
    <row r="37" spans="1:7">
      <c r="A37" s="22">
        <v>35</v>
      </c>
      <c r="C37" s="48">
        <v>-3.399459354944756E-2</v>
      </c>
      <c r="D37" s="48">
        <v>-4.8023157952747364E-2</v>
      </c>
      <c r="F37" s="48">
        <v>-0.14291203541724784</v>
      </c>
      <c r="G37" s="48">
        <v>-0.27728694150389654</v>
      </c>
    </row>
    <row r="38" spans="1:7">
      <c r="A38" s="22">
        <v>36</v>
      </c>
      <c r="C38" s="48">
        <v>-4.6808317937519384E-2</v>
      </c>
      <c r="D38" s="48">
        <v>-7.1992362314547087E-2</v>
      </c>
      <c r="F38" s="48">
        <v>-0.15428100797284705</v>
      </c>
      <c r="G38" s="48">
        <v>-0.29548366250477842</v>
      </c>
    </row>
    <row r="39" spans="1:7">
      <c r="A39" s="22">
        <v>37</v>
      </c>
      <c r="C39" s="48">
        <v>-5.9582392546395746E-2</v>
      </c>
      <c r="D39" s="48">
        <v>-9.0714003810518529E-2</v>
      </c>
      <c r="F39" s="48">
        <v>-0.16561480127549411</v>
      </c>
      <c r="G39" s="48">
        <v>-0.3096965867987389</v>
      </c>
    </row>
    <row r="40" spans="1:7">
      <c r="A40" s="22">
        <v>38</v>
      </c>
      <c r="C40" s="48">
        <v>-5.501078954718952E-2</v>
      </c>
      <c r="D40" s="48">
        <v>-8.3049261652060946E-2</v>
      </c>
      <c r="F40" s="48">
        <v>-0.16155864808700715</v>
      </c>
      <c r="G40" s="48">
        <v>-0.30387773805866836</v>
      </c>
    </row>
    <row r="41" spans="1:7">
      <c r="A41" s="22">
        <v>39</v>
      </c>
      <c r="C41" s="48">
        <v>-7.1800357056869824E-2</v>
      </c>
      <c r="D41" s="48">
        <v>-0.12488945499431492</v>
      </c>
      <c r="F41" s="48">
        <v>-0.17645518608462663</v>
      </c>
      <c r="G41" s="48">
        <v>-0.33564159276906247</v>
      </c>
    </row>
    <row r="42" spans="1:7">
      <c r="A42" s="22">
        <v>40</v>
      </c>
      <c r="C42" s="48">
        <v>-3.3172708191828493E-2</v>
      </c>
      <c r="D42" s="48">
        <v>-4.5590833857760527E-2</v>
      </c>
      <c r="F42" s="48">
        <v>-0.14218281791641585</v>
      </c>
      <c r="G42" s="48">
        <v>-0.27544039197842562</v>
      </c>
    </row>
    <row r="43" spans="1:7">
      <c r="A43" s="22">
        <v>41</v>
      </c>
      <c r="C43" s="48">
        <v>-3.3422788374507406E-2</v>
      </c>
      <c r="D43" s="48">
        <v>-4.6866401124094237E-2</v>
      </c>
      <c r="F43" s="48">
        <v>-0.14240470147247408</v>
      </c>
      <c r="G43" s="48">
        <v>-0.27640876545102711</v>
      </c>
    </row>
    <row r="44" spans="1:7">
      <c r="A44" s="22">
        <v>42</v>
      </c>
      <c r="C44" s="48">
        <v>-4.6015199058771383E-2</v>
      </c>
      <c r="D44" s="48">
        <v>-6.9817645973889175E-2</v>
      </c>
      <c r="F44" s="48">
        <v>-0.15357731352049819</v>
      </c>
      <c r="G44" s="48">
        <v>-0.2938326812744595</v>
      </c>
    </row>
    <row r="45" spans="1:7">
      <c r="A45" s="22">
        <v>44</v>
      </c>
      <c r="C45" s="48">
        <v>-4.4508047512948012E-2</v>
      </c>
      <c r="D45" s="48">
        <v>-6.8550739568962737E-2</v>
      </c>
      <c r="F45" s="48">
        <v>-0.15224009382990267</v>
      </c>
      <c r="G45" s="48">
        <v>-0.29287088287528451</v>
      </c>
    </row>
    <row r="46" spans="1:7">
      <c r="A46" s="22">
        <v>45</v>
      </c>
      <c r="C46" s="48">
        <v>-5.1229017424456069E-2</v>
      </c>
      <c r="D46" s="48">
        <v>-7.9861208420810237E-2</v>
      </c>
      <c r="F46" s="48">
        <v>-0.15820327207198137</v>
      </c>
      <c r="G46" s="48">
        <v>-0.30145746101027859</v>
      </c>
    </row>
    <row r="47" spans="1:7">
      <c r="A47" s="22">
        <v>46</v>
      </c>
      <c r="C47" s="48">
        <v>-3.8848066724463393E-2</v>
      </c>
      <c r="D47" s="48">
        <v>-5.7021657471050813E-2</v>
      </c>
      <c r="F47" s="48">
        <v>-0.14721827782226304</v>
      </c>
      <c r="G47" s="48">
        <v>-0.28411833993871904</v>
      </c>
    </row>
    <row r="48" spans="1:7">
      <c r="A48" s="22">
        <v>47</v>
      </c>
      <c r="C48" s="48">
        <v>-4.0719000588204102E-2</v>
      </c>
      <c r="D48" s="48">
        <v>-5.9851305646475672E-2</v>
      </c>
      <c r="F48" s="48">
        <v>-0.14887826324929554</v>
      </c>
      <c r="G48" s="48">
        <v>-0.28626652631994576</v>
      </c>
    </row>
    <row r="49" spans="1:7">
      <c r="A49" s="22">
        <v>48</v>
      </c>
      <c r="C49" s="48">
        <v>-2.6843888908895885E-2</v>
      </c>
      <c r="D49" s="48">
        <v>-3.527438568156438E-2</v>
      </c>
      <c r="F49" s="48">
        <v>-0.13656757518464713</v>
      </c>
      <c r="G49" s="48">
        <v>-0.26760844535438666</v>
      </c>
    </row>
    <row r="50" spans="1:7">
      <c r="A50" s="22">
        <v>49</v>
      </c>
      <c r="C50" s="48">
        <v>-2.4581887800776858E-2</v>
      </c>
      <c r="D50" s="48">
        <v>-3.0255510262465868E-2</v>
      </c>
      <c r="F50" s="48">
        <v>-0.13456061547956089</v>
      </c>
      <c r="G50" s="48">
        <v>-0.26379826148841445</v>
      </c>
    </row>
    <row r="51" spans="1:7">
      <c r="A51" s="22">
        <v>50</v>
      </c>
      <c r="C51" s="48">
        <v>-2.470221101077319E-2</v>
      </c>
      <c r="D51" s="48">
        <v>-3.0515494711884861E-2</v>
      </c>
      <c r="F51" s="48">
        <v>-0.13466737220624092</v>
      </c>
      <c r="G51" s="48">
        <v>-0.26399563410117355</v>
      </c>
    </row>
    <row r="52" spans="1:7">
      <c r="A52" s="22">
        <v>51</v>
      </c>
      <c r="C52" s="48">
        <v>-3.1966738593016575E-2</v>
      </c>
      <c r="D52" s="48">
        <v>-4.3989757357139503E-2</v>
      </c>
      <c r="F52" s="48">
        <v>-0.1411128218047043</v>
      </c>
      <c r="G52" s="48">
        <v>-0.27422490138711919</v>
      </c>
    </row>
    <row r="53" spans="1:7">
      <c r="A53" s="22">
        <v>52</v>
      </c>
      <c r="C53" s="48">
        <v>-2.4381590050479796E-2</v>
      </c>
      <c r="D53" s="48">
        <v>-2.8536937509346272E-2</v>
      </c>
      <c r="F53" s="48">
        <v>-0.13438290136950903</v>
      </c>
      <c r="G53" s="48">
        <v>-0.26249357116844396</v>
      </c>
    </row>
    <row r="54" spans="1:7">
      <c r="A54" s="22">
        <v>53</v>
      </c>
      <c r="C54" s="48">
        <v>-1.8744952826660222E-2</v>
      </c>
      <c r="D54" s="48">
        <v>-1.8729409709052125E-2</v>
      </c>
      <c r="F54" s="48">
        <v>-0.12938179693158869</v>
      </c>
      <c r="G54" s="48">
        <v>-0.25504798205348911</v>
      </c>
    </row>
    <row r="55" spans="1:7">
      <c r="A55" s="22">
        <v>54</v>
      </c>
      <c r="C55" s="48">
        <v>-3.244349208493158E-2</v>
      </c>
      <c r="D55" s="48">
        <v>-4.4643075389017461E-2</v>
      </c>
      <c r="F55" s="48">
        <v>-0.14153582117641028</v>
      </c>
      <c r="G55" s="48">
        <v>-0.27472088138593276</v>
      </c>
    </row>
    <row r="56" spans="1:7">
      <c r="A56" s="22">
        <v>55</v>
      </c>
      <c r="C56" s="48">
        <v>-2.1720802992547195E-2</v>
      </c>
      <c r="D56" s="48">
        <v>-2.3562940759159989E-2</v>
      </c>
      <c r="F56" s="48">
        <v>-0.13202211896762683</v>
      </c>
      <c r="G56" s="48">
        <v>-0.25871745787923184</v>
      </c>
    </row>
    <row r="57" spans="1:7">
      <c r="A57" s="22">
        <v>56</v>
      </c>
      <c r="C57" s="48">
        <v>-2.7344952520850008E-2</v>
      </c>
      <c r="D57" s="48">
        <v>-3.4597184440053108E-2</v>
      </c>
      <c r="F57" s="48">
        <v>-0.13701214370199544</v>
      </c>
      <c r="G57" s="48">
        <v>-0.26709433391926241</v>
      </c>
    </row>
    <row r="58" spans="1:7">
      <c r="A58" s="22">
        <v>57</v>
      </c>
      <c r="C58" s="48">
        <v>-4.4379958933332908E-2</v>
      </c>
      <c r="D58" s="48">
        <v>-6.5345961475051006E-2</v>
      </c>
      <c r="F58" s="48">
        <v>-0.15212644728169955</v>
      </c>
      <c r="G58" s="48">
        <v>-0.29043790879886544</v>
      </c>
    </row>
    <row r="59" spans="1:7">
      <c r="A59" s="22">
        <v>58</v>
      </c>
      <c r="C59" s="48">
        <v>-5.3491220069773582E-2</v>
      </c>
      <c r="D59" s="48">
        <v>-8.3870272666626833E-2</v>
      </c>
      <c r="F59" s="48">
        <v>-0.16021041059087759</v>
      </c>
      <c r="G59" s="48">
        <v>-0.30450102567995119</v>
      </c>
    </row>
    <row r="60" spans="1:7">
      <c r="A60" s="22">
        <v>59</v>
      </c>
      <c r="C60" s="48">
        <v>-3.9085466334309649E-2</v>
      </c>
      <c r="D60" s="48">
        <v>-4.9444423379278568E-2</v>
      </c>
      <c r="F60" s="48">
        <v>-0.14742891054443741</v>
      </c>
      <c r="G60" s="48">
        <v>-0.27836592477110955</v>
      </c>
    </row>
    <row r="61" spans="1:7">
      <c r="A61" s="22">
        <v>60</v>
      </c>
      <c r="C61" s="48">
        <v>-2.4194069345526481E-2</v>
      </c>
      <c r="D61" s="48">
        <v>-2.1413841760104635E-2</v>
      </c>
      <c r="F61" s="48">
        <v>-0.13421652368854331</v>
      </c>
      <c r="G61" s="48">
        <v>-0.25708592458764667</v>
      </c>
    </row>
    <row r="62" spans="1:7">
      <c r="A62" s="22">
        <v>61</v>
      </c>
      <c r="C62" s="48">
        <v>-1.5633730797411927E-2</v>
      </c>
      <c r="D62" s="48">
        <v>-1.1260687525208701E-2</v>
      </c>
      <c r="F62" s="48">
        <v>-0.12662136625634901</v>
      </c>
      <c r="G62" s="48">
        <v>-0.24937794596213292</v>
      </c>
    </row>
    <row r="63" spans="1:7">
      <c r="A63" s="22">
        <v>63</v>
      </c>
      <c r="C63" s="48">
        <v>-2.1913018318096111E-2</v>
      </c>
      <c r="D63" s="48">
        <v>-2.3770607763800577E-2</v>
      </c>
      <c r="F63" s="48">
        <v>-0.13219266194910106</v>
      </c>
      <c r="G63" s="48">
        <v>-0.25887511261351071</v>
      </c>
    </row>
    <row r="64" spans="1:7">
      <c r="A64" s="22">
        <v>64</v>
      </c>
      <c r="C64" s="48">
        <v>-1.8590065857154725E-2</v>
      </c>
      <c r="D64" s="48">
        <v>-1.664651688592611E-2</v>
      </c>
      <c r="F64" s="48">
        <v>-0.12924437352117357</v>
      </c>
      <c r="G64" s="48">
        <v>-0.25346671056007364</v>
      </c>
    </row>
    <row r="65" spans="1:7">
      <c r="A65" s="22">
        <v>65</v>
      </c>
      <c r="C65" s="48">
        <v>-1.6435733039638523E-2</v>
      </c>
      <c r="D65" s="48">
        <v>-1.2515689489019821E-2</v>
      </c>
      <c r="F65" s="48">
        <v>-0.12733294246988869</v>
      </c>
      <c r="G65" s="48">
        <v>-0.25033070685675085</v>
      </c>
    </row>
    <row r="66" spans="1:7">
      <c r="A66" s="22">
        <v>66</v>
      </c>
      <c r="C66" s="48">
        <v>-5.3476768952479548E-2</v>
      </c>
      <c r="D66" s="48">
        <v>-7.7261754425480667E-2</v>
      </c>
      <c r="F66" s="48">
        <v>-0.16019758884202939</v>
      </c>
      <c r="G66" s="48">
        <v>-0.29948403133803525</v>
      </c>
    </row>
    <row r="67" spans="1:7">
      <c r="A67" s="22">
        <v>67</v>
      </c>
      <c r="C67" s="48">
        <v>-2.5411581925065208E-2</v>
      </c>
      <c r="D67" s="48">
        <v>-2.9095269192236595E-2</v>
      </c>
      <c r="F67" s="48">
        <v>-0.13529676130593415</v>
      </c>
      <c r="G67" s="48">
        <v>-0.26291744030094222</v>
      </c>
    </row>
    <row r="68" spans="1:7">
      <c r="A68" s="22">
        <v>68</v>
      </c>
      <c r="C68" s="48">
        <v>-2.1697069527343626E-2</v>
      </c>
      <c r="D68" s="48">
        <v>-2.3124770005284345E-2</v>
      </c>
      <c r="F68" s="48">
        <v>-0.13200106145878887</v>
      </c>
      <c r="G68" s="48">
        <v>-0.25838481142010583</v>
      </c>
    </row>
    <row r="69" spans="1:7">
      <c r="A69" s="22">
        <v>69</v>
      </c>
      <c r="C69" s="48">
        <v>-1.9188299964710498E-2</v>
      </c>
      <c r="D69" s="48">
        <v>-1.9314306470431308E-2</v>
      </c>
      <c r="F69" s="48">
        <v>-0.12977515652731952</v>
      </c>
      <c r="G69" s="48">
        <v>-0.25549201861892878</v>
      </c>
    </row>
    <row r="70" spans="1:7">
      <c r="A70" s="22">
        <v>70</v>
      </c>
      <c r="C70" s="48">
        <v>-1.7054101914615871E-2</v>
      </c>
      <c r="D70" s="48">
        <v>-1.4414046396479918E-2</v>
      </c>
      <c r="F70" s="48">
        <v>-0.12788159004150312</v>
      </c>
      <c r="G70" s="48">
        <v>-0.25177188406412632</v>
      </c>
    </row>
    <row r="71" spans="1:7">
      <c r="A71" s="22">
        <v>71</v>
      </c>
      <c r="C71" s="48">
        <v>-1.7995158650517706E-2</v>
      </c>
      <c r="D71" s="48">
        <v>-1.6918425699285922E-2</v>
      </c>
      <c r="F71" s="48">
        <v>-0.12871654230672358</v>
      </c>
      <c r="G71" s="48">
        <v>-0.25367313580221784</v>
      </c>
    </row>
    <row r="72" spans="1:7">
      <c r="A72" s="22">
        <v>72</v>
      </c>
      <c r="C72" s="48">
        <v>-2.7786928464414995E-2</v>
      </c>
      <c r="D72" s="48">
        <v>-3.4901384286707304E-2</v>
      </c>
      <c r="F72" s="48">
        <v>-0.13740428670589078</v>
      </c>
      <c r="G72" s="48">
        <v>-0.26732527357226565</v>
      </c>
    </row>
    <row r="73" spans="1:7">
      <c r="A73" s="22">
        <v>73</v>
      </c>
      <c r="C73" s="48">
        <v>-2.5797896539656917E-2</v>
      </c>
      <c r="D73" s="48">
        <v>-3.1354462034504205E-2</v>
      </c>
      <c r="F73" s="48">
        <v>-0.1356395188148446</v>
      </c>
      <c r="G73" s="48">
        <v>-0.26463255362791804</v>
      </c>
    </row>
    <row r="74" spans="1:7">
      <c r="A74" s="22">
        <v>74</v>
      </c>
      <c r="C74" s="48">
        <v>-1.9943081395205842E-2</v>
      </c>
      <c r="D74" s="48">
        <v>-1.9853254353173644E-2</v>
      </c>
      <c r="F74" s="48">
        <v>-0.13044483609189361</v>
      </c>
      <c r="G74" s="48">
        <v>-0.25590117213559327</v>
      </c>
    </row>
    <row r="75" spans="1:7">
      <c r="A75" s="22">
        <v>75</v>
      </c>
      <c r="C75" s="48">
        <v>-2.5593769737714545E-2</v>
      </c>
      <c r="D75" s="48">
        <v>-3.0317244838441337E-2</v>
      </c>
      <c r="F75" s="48">
        <v>-0.13545840738003756</v>
      </c>
      <c r="G75" s="48">
        <v>-0.26384512857829268</v>
      </c>
    </row>
    <row r="76" spans="1:7">
      <c r="A76" s="22">
        <v>76</v>
      </c>
      <c r="C76" s="48">
        <v>-2.1774124262497918E-2</v>
      </c>
      <c r="D76" s="48">
        <v>-2.3092317768171111E-2</v>
      </c>
      <c r="F76" s="48">
        <v>-0.13206942824604884</v>
      </c>
      <c r="G76" s="48">
        <v>-0.25836017462800831</v>
      </c>
    </row>
    <row r="77" spans="1:7">
      <c r="A77" s="22">
        <v>77</v>
      </c>
      <c r="C77" s="48">
        <v>-2.3376636287387398E-2</v>
      </c>
      <c r="D77" s="48">
        <v>-2.6316292827216703E-2</v>
      </c>
      <c r="F77" s="48">
        <v>-0.13349125648889337</v>
      </c>
      <c r="G77" s="48">
        <v>-0.26080772248056661</v>
      </c>
    </row>
    <row r="78" spans="1:7">
      <c r="A78" s="22">
        <v>78</v>
      </c>
      <c r="C78" s="48">
        <v>-2.3141347067905715E-2</v>
      </c>
      <c r="D78" s="48">
        <v>-2.6122296886812113E-2</v>
      </c>
      <c r="F78" s="48">
        <v>-0.133282496209844</v>
      </c>
      <c r="G78" s="48">
        <v>-0.26066044641960273</v>
      </c>
    </row>
    <row r="79" spans="1:7">
      <c r="A79" s="22">
        <v>79</v>
      </c>
      <c r="C79" s="48">
        <v>-1.6178554469690964E-2</v>
      </c>
      <c r="D79" s="48">
        <v>-1.2535421274587621E-2</v>
      </c>
      <c r="F79" s="48">
        <v>-0.12710476087216793</v>
      </c>
      <c r="G79" s="48">
        <v>-0.25034568665296808</v>
      </c>
    </row>
    <row r="80" spans="1:7">
      <c r="A80" s="22">
        <v>80</v>
      </c>
      <c r="C80" s="48">
        <v>-2.8135404469493031E-2</v>
      </c>
      <c r="D80" s="48">
        <v>-3.0159404234412879E-2</v>
      </c>
      <c r="F80" s="48">
        <v>-0.13771347192152605</v>
      </c>
      <c r="G80" s="48">
        <v>-0.26372530059440291</v>
      </c>
    </row>
    <row r="81" spans="1:7">
      <c r="A81" s="22">
        <v>81</v>
      </c>
      <c r="C81" s="48">
        <v>-2.814398602957402E-2</v>
      </c>
      <c r="D81" s="48">
        <v>-3.0160507865622077E-2</v>
      </c>
      <c r="F81" s="48">
        <v>-0.137721085907756</v>
      </c>
      <c r="G81" s="48">
        <v>-0.26372613843903459</v>
      </c>
    </row>
    <row r="82" spans="1:7">
      <c r="A82" s="22">
        <v>82</v>
      </c>
      <c r="C82" s="48">
        <v>1.0148289613780559E-3</v>
      </c>
      <c r="D82" s="48">
        <v>7.0193522945647402E-3</v>
      </c>
      <c r="F82" s="48">
        <v>-0.11184993733720261</v>
      </c>
      <c r="G82" s="48">
        <v>-0.23550027278347874</v>
      </c>
    </row>
    <row r="83" spans="1:7">
      <c r="A83" s="22">
        <v>83</v>
      </c>
      <c r="C83" s="48">
        <v>-1.2554067378079292E-2</v>
      </c>
      <c r="D83" s="48">
        <v>-6.5849226679346451E-3</v>
      </c>
      <c r="F83" s="48">
        <v>-0.12388893594690142</v>
      </c>
      <c r="G83" s="48">
        <v>-0.24582824162947081</v>
      </c>
    </row>
    <row r="84" spans="1:7">
      <c r="A84" s="22">
        <v>84</v>
      </c>
      <c r="C84" s="48">
        <v>-1.2810616753257342E-2</v>
      </c>
      <c r="D84" s="48">
        <v>-6.5365383244881947E-3</v>
      </c>
      <c r="F84" s="48">
        <v>-0.12411655929177923</v>
      </c>
      <c r="G84" s="48">
        <v>-0.24579150964683105</v>
      </c>
    </row>
    <row r="85" spans="1:7">
      <c r="A85" s="22">
        <v>85</v>
      </c>
      <c r="C85" s="48">
        <v>7.3773670609802444E-3</v>
      </c>
      <c r="D85" s="48">
        <v>1.8363707303443499E-2</v>
      </c>
      <c r="F85" s="48">
        <v>-0.10620477759694247</v>
      </c>
      <c r="G85" s="48">
        <v>-0.22688796926619903</v>
      </c>
    </row>
    <row r="86" spans="1:7">
      <c r="A86" s="22">
        <v>86</v>
      </c>
      <c r="C86" s="48">
        <v>-1.4177694998452117E-2</v>
      </c>
      <c r="D86" s="48">
        <v>-9.9328764327094587E-3</v>
      </c>
      <c r="F86" s="48">
        <v>-0.12532949899457524</v>
      </c>
      <c r="G86" s="48">
        <v>-0.24836991050015522</v>
      </c>
    </row>
    <row r="87" spans="1:7">
      <c r="A87" s="22">
        <v>87</v>
      </c>
      <c r="C87" s="48">
        <v>-2.3659790658340007E-2</v>
      </c>
      <c r="D87" s="48">
        <v>-2.6658334347870793E-2</v>
      </c>
      <c r="F87" s="48">
        <v>-0.1337424851071205</v>
      </c>
      <c r="G87" s="48">
        <v>-0.26106739042899385</v>
      </c>
    </row>
    <row r="88" spans="1:7">
      <c r="A88" s="22">
        <v>88</v>
      </c>
      <c r="C88" s="48">
        <v>-1.8805814959060529E-2</v>
      </c>
      <c r="D88" s="48">
        <v>-1.6825998402314024E-2</v>
      </c>
      <c r="F88" s="48">
        <v>-0.12943579683762518</v>
      </c>
      <c r="G88" s="48">
        <v>-0.25360296769356994</v>
      </c>
    </row>
    <row r="89" spans="1:7">
      <c r="A89" s="22">
        <v>89</v>
      </c>
      <c r="C89" s="48">
        <v>-2.5378473241038146E-2</v>
      </c>
      <c r="D89" s="48">
        <v>-3.095523402447653E-2</v>
      </c>
      <c r="F89" s="48">
        <v>-0.13526738563742002</v>
      </c>
      <c r="G89" s="48">
        <v>-0.26432947136433704</v>
      </c>
    </row>
    <row r="90" spans="1:7">
      <c r="A90" s="22">
        <v>90</v>
      </c>
      <c r="C90" s="48">
        <v>-2.7333942383361509E-2</v>
      </c>
      <c r="D90" s="48">
        <v>-3.456852861061932E-2</v>
      </c>
      <c r="F90" s="48">
        <v>-0.13700237496129608</v>
      </c>
      <c r="G90" s="48">
        <v>-0.26707257924917049</v>
      </c>
    </row>
    <row r="91" spans="1:7">
      <c r="A91" s="22">
        <v>91</v>
      </c>
      <c r="C91" s="48">
        <v>-2.8910759372188344E-2</v>
      </c>
      <c r="D91" s="48">
        <v>-3.8069969809154447E-2</v>
      </c>
      <c r="F91" s="48">
        <v>-0.13840140529223277</v>
      </c>
      <c r="G91" s="48">
        <v>-0.26973077130381717</v>
      </c>
    </row>
    <row r="92" spans="1:7">
      <c r="A92" s="22">
        <v>92</v>
      </c>
      <c r="C92" s="48">
        <v>-3.7414111446334108E-2</v>
      </c>
      <c r="D92" s="48">
        <v>-5.4583271109684084E-2</v>
      </c>
      <c r="F92" s="48">
        <v>-0.1459460014950007</v>
      </c>
      <c r="G92" s="48">
        <v>-0.28226718811739027</v>
      </c>
    </row>
    <row r="93" spans="1:7">
      <c r="A93" s="22">
        <v>93</v>
      </c>
      <c r="C93" s="48">
        <v>-2.1623057197084572E-2</v>
      </c>
      <c r="D93" s="48">
        <v>-2.5249677558622396E-2</v>
      </c>
      <c r="F93" s="48">
        <v>-0.1319353940442255</v>
      </c>
      <c r="G93" s="48">
        <v>-0.25999797927153367</v>
      </c>
    </row>
    <row r="94" spans="1:7">
      <c r="A94" s="22">
        <v>94</v>
      </c>
      <c r="C94" s="48">
        <v>-3.3117479509532588E-2</v>
      </c>
      <c r="D94" s="48">
        <v>-4.2632655416480758E-2</v>
      </c>
      <c r="F94" s="48">
        <v>-0.14213381628704647</v>
      </c>
      <c r="G94" s="48">
        <v>-0.27319462916735038</v>
      </c>
    </row>
    <row r="95" spans="1:7">
      <c r="A95" s="22">
        <v>95</v>
      </c>
      <c r="C95" s="48">
        <v>-5.9358204005688031E-2</v>
      </c>
      <c r="D95" s="48">
        <v>-9.5089167607771974E-2</v>
      </c>
      <c r="F95" s="48">
        <v>-0.16541589006986845</v>
      </c>
      <c r="G95" s="48">
        <v>-0.31301808357226801</v>
      </c>
    </row>
    <row r="96" spans="1:7">
      <c r="A96" s="22">
        <v>96</v>
      </c>
      <c r="C96" s="48">
        <v>-4.7402886555368839E-2</v>
      </c>
      <c r="D96" s="48">
        <v>-7.4654253623708255E-2</v>
      </c>
      <c r="F96" s="48">
        <v>-0.15480853877451195</v>
      </c>
      <c r="G96" s="48">
        <v>-0.29750449276498825</v>
      </c>
    </row>
    <row r="97" spans="1:7">
      <c r="A97" s="22">
        <v>97</v>
      </c>
      <c r="C97" s="48">
        <v>-4.2543788424960649E-2</v>
      </c>
      <c r="D97" s="48">
        <v>-6.3681697729248588E-2</v>
      </c>
      <c r="F97" s="48">
        <v>-0.15049730562975971</v>
      </c>
      <c r="G97" s="48">
        <v>-0.28917444829358008</v>
      </c>
    </row>
    <row r="98" spans="1:7">
      <c r="A98" s="22">
        <v>98</v>
      </c>
      <c r="C98" s="48">
        <v>-7.4382271405790568E-2</v>
      </c>
      <c r="D98" s="48">
        <v>-0.1302134889776656</v>
      </c>
      <c r="F98" s="48">
        <v>-0.17874598870256919</v>
      </c>
      <c r="G98" s="48">
        <v>-0.33968344411848173</v>
      </c>
    </row>
    <row r="99" spans="1:7">
      <c r="A99" s="22">
        <v>99</v>
      </c>
      <c r="C99" s="48">
        <v>-7.404765636125632E-2</v>
      </c>
      <c r="D99" s="48">
        <v>-0.11170593435701792</v>
      </c>
      <c r="F99" s="48">
        <v>-0.17844910161940841</v>
      </c>
      <c r="G99" s="48">
        <v>-0.32563304833741702</v>
      </c>
    </row>
    <row r="100" spans="1:7">
      <c r="C100" s="10"/>
      <c r="D100" s="10"/>
      <c r="F100" s="10"/>
      <c r="G100" s="10"/>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FFC000"/>
  </sheetPr>
  <dimension ref="A2:AP52"/>
  <sheetViews>
    <sheetView workbookViewId="0">
      <selection activeCell="E35" sqref="E35"/>
    </sheetView>
  </sheetViews>
  <sheetFormatPr baseColWidth="10" defaultRowHeight="15"/>
  <cols>
    <col min="1" max="1" width="34.7109375" bestFit="1" customWidth="1"/>
    <col min="2" max="2" width="26.140625" bestFit="1" customWidth="1"/>
    <col min="3" max="3" width="33.140625" bestFit="1" customWidth="1"/>
    <col min="4" max="4" width="26.140625" bestFit="1" customWidth="1"/>
    <col min="5" max="5" width="33.140625" bestFit="1" customWidth="1"/>
    <col min="6" max="6" width="26.140625" bestFit="1" customWidth="1"/>
    <col min="7" max="7" width="33.140625" bestFit="1" customWidth="1"/>
  </cols>
  <sheetData>
    <row r="2" spans="1:42">
      <c r="A2" t="s">
        <v>57</v>
      </c>
      <c r="B2" t="s">
        <v>107</v>
      </c>
      <c r="C2" t="s">
        <v>106</v>
      </c>
      <c r="D2" s="52" t="s">
        <v>107</v>
      </c>
      <c r="E2" s="52" t="s">
        <v>106</v>
      </c>
      <c r="F2" s="52" t="s">
        <v>107</v>
      </c>
      <c r="G2" s="52" t="s">
        <v>106</v>
      </c>
      <c r="H2" s="10"/>
      <c r="I2" s="10"/>
    </row>
    <row r="4" spans="1:42">
      <c r="A4" t="s">
        <v>79</v>
      </c>
      <c r="B4" s="10" t="s">
        <v>22</v>
      </c>
      <c r="C4" s="10" t="s">
        <v>23</v>
      </c>
      <c r="D4" s="10" t="s">
        <v>24</v>
      </c>
      <c r="E4" s="10" t="s">
        <v>25</v>
      </c>
      <c r="F4" s="10" t="s">
        <v>26</v>
      </c>
      <c r="G4" s="10" t="s">
        <v>27</v>
      </c>
    </row>
    <row r="5" spans="1:42">
      <c r="A5">
        <v>-16</v>
      </c>
      <c r="B5" s="47">
        <v>1000</v>
      </c>
      <c r="C5" s="47">
        <v>0.34104116589523709</v>
      </c>
      <c r="D5" s="47">
        <v>1000</v>
      </c>
      <c r="E5" s="47">
        <v>0.29495033004014037</v>
      </c>
      <c r="F5" s="47">
        <v>1000</v>
      </c>
      <c r="G5" s="47">
        <v>0.33116480554406419</v>
      </c>
    </row>
    <row r="6" spans="1:42">
      <c r="A6">
        <v>-15</v>
      </c>
      <c r="B6" s="47">
        <v>1000</v>
      </c>
      <c r="C6" s="47">
        <v>0.34210497444173393</v>
      </c>
      <c r="D6" s="47">
        <v>1000</v>
      </c>
      <c r="E6" s="47">
        <v>0.29525813738696738</v>
      </c>
      <c r="F6" s="47">
        <v>1000</v>
      </c>
      <c r="G6" s="47">
        <v>0.33434881483352258</v>
      </c>
      <c r="J6" s="46"/>
    </row>
    <row r="7" spans="1:42">
      <c r="A7" s="52">
        <v>-14</v>
      </c>
      <c r="B7" s="47">
        <v>1000</v>
      </c>
      <c r="C7" s="47">
        <v>0.34316878298823084</v>
      </c>
      <c r="D7" s="47">
        <v>1000</v>
      </c>
      <c r="E7" s="47">
        <v>0.29556594473379438</v>
      </c>
      <c r="F7" s="47">
        <v>1000</v>
      </c>
      <c r="G7" s="47">
        <v>0.33753282412298097</v>
      </c>
      <c r="J7" s="46"/>
    </row>
    <row r="8" spans="1:42">
      <c r="A8" s="52">
        <v>-13</v>
      </c>
      <c r="B8" s="47">
        <v>1000</v>
      </c>
      <c r="C8" s="47">
        <v>0.35739904457534732</v>
      </c>
      <c r="D8" s="47">
        <v>1000</v>
      </c>
      <c r="E8" s="47">
        <v>0.30434597848934758</v>
      </c>
      <c r="F8" s="47">
        <v>1000</v>
      </c>
      <c r="G8" s="47">
        <v>0.35600063042233976</v>
      </c>
      <c r="J8" s="46"/>
    </row>
    <row r="9" spans="1:42">
      <c r="A9" s="52">
        <v>-12</v>
      </c>
      <c r="B9" s="47">
        <v>1000</v>
      </c>
      <c r="C9" s="47">
        <v>0.37162930616246381</v>
      </c>
      <c r="D9" s="47">
        <v>1000</v>
      </c>
      <c r="E9" s="47">
        <v>0.31312601224490078</v>
      </c>
      <c r="F9" s="47">
        <v>1000</v>
      </c>
      <c r="G9" s="47">
        <v>0.37446843672169861</v>
      </c>
    </row>
    <row r="10" spans="1:42">
      <c r="A10" s="52">
        <v>-11</v>
      </c>
      <c r="B10" s="47">
        <v>1000</v>
      </c>
      <c r="C10" s="47">
        <v>0.40585578113566356</v>
      </c>
      <c r="D10" s="47">
        <v>1000</v>
      </c>
      <c r="E10" s="47">
        <v>0.33918559129684833</v>
      </c>
      <c r="F10" s="47">
        <v>1000</v>
      </c>
      <c r="G10" s="47">
        <v>0.40787027820820043</v>
      </c>
    </row>
    <row r="11" spans="1:42">
      <c r="A11" s="52">
        <v>-10</v>
      </c>
      <c r="B11" s="47">
        <v>1000</v>
      </c>
      <c r="C11" s="47">
        <v>0.44008225610886337</v>
      </c>
      <c r="D11" s="47">
        <v>1000</v>
      </c>
      <c r="E11" s="47">
        <v>0.36524517034879583</v>
      </c>
      <c r="F11" s="47">
        <v>1000</v>
      </c>
      <c r="G11" s="47">
        <v>0.4412721196947022</v>
      </c>
    </row>
    <row r="12" spans="1:42">
      <c r="A12" s="32"/>
      <c r="C12" s="32"/>
      <c r="D12" s="32"/>
    </row>
    <row r="13" spans="1:42">
      <c r="A13" s="32"/>
      <c r="B13" s="32"/>
      <c r="C13" s="32"/>
      <c r="D13" s="32"/>
    </row>
    <row r="14" spans="1:42">
      <c r="A14" s="32"/>
      <c r="B14" s="32"/>
      <c r="C14" s="32"/>
      <c r="D14" s="32"/>
      <c r="E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row>
    <row r="15" spans="1:42">
      <c r="A15" s="32"/>
      <c r="B15" s="32"/>
      <c r="C15" s="32"/>
      <c r="D15" s="32"/>
      <c r="E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row>
    <row r="16" spans="1:42">
      <c r="A16" s="30"/>
      <c r="B16" s="30"/>
      <c r="C16" s="30"/>
      <c r="D16" s="30"/>
    </row>
    <row r="17" spans="1:14">
      <c r="A17" s="32"/>
      <c r="B17" s="32"/>
      <c r="C17" s="32"/>
      <c r="D17" s="32"/>
      <c r="E17" s="32"/>
      <c r="F17" s="32"/>
      <c r="G17" s="32"/>
      <c r="H17" s="32"/>
    </row>
    <row r="18" spans="1:14">
      <c r="A18" s="32"/>
      <c r="B18" s="32"/>
      <c r="C18" s="32"/>
      <c r="D18" s="32"/>
      <c r="E18" s="32"/>
      <c r="F18" s="32"/>
      <c r="G18" s="32"/>
      <c r="H18" s="32"/>
      <c r="K18" s="32"/>
      <c r="L18" s="32"/>
      <c r="M18" s="32"/>
      <c r="N18" s="32"/>
    </row>
    <row r="19" spans="1:14">
      <c r="A19" s="32"/>
      <c r="B19" s="32"/>
      <c r="C19" s="32"/>
      <c r="D19" s="32"/>
      <c r="E19" s="32"/>
      <c r="F19" s="32"/>
      <c r="G19" s="32"/>
      <c r="H19" s="32"/>
    </row>
    <row r="20" spans="1:14">
      <c r="A20" s="32"/>
      <c r="B20" s="32"/>
      <c r="C20" s="32"/>
      <c r="D20" s="32"/>
      <c r="E20" s="32"/>
      <c r="F20" s="32"/>
      <c r="G20" s="32"/>
      <c r="H20" s="32"/>
    </row>
    <row r="21" spans="1:14">
      <c r="A21" s="32"/>
      <c r="B21" s="32"/>
      <c r="C21" s="30"/>
      <c r="D21" s="30"/>
    </row>
    <row r="22" spans="1:14">
      <c r="A22" s="32"/>
      <c r="B22" s="32"/>
      <c r="C22" s="31"/>
      <c r="D22" s="31"/>
    </row>
    <row r="23" spans="1:14">
      <c r="A23" s="32"/>
      <c r="B23" s="32"/>
    </row>
    <row r="24" spans="1:14">
      <c r="A24" s="32"/>
      <c r="B24" s="32"/>
      <c r="C24" s="30"/>
      <c r="D24" s="30"/>
    </row>
    <row r="25" spans="1:14">
      <c r="A25" s="32"/>
      <c r="B25" s="32"/>
      <c r="C25" s="30"/>
      <c r="D25" s="30"/>
    </row>
    <row r="26" spans="1:14">
      <c r="A26" s="32"/>
      <c r="B26" s="32"/>
      <c r="C26" s="31"/>
      <c r="D26" s="31"/>
    </row>
    <row r="27" spans="1:14">
      <c r="A27" s="32"/>
      <c r="B27" s="32"/>
    </row>
    <row r="28" spans="1:14">
      <c r="A28" s="32"/>
      <c r="B28" s="32"/>
      <c r="C28" s="30"/>
      <c r="D28" s="30"/>
    </row>
    <row r="29" spans="1:14">
      <c r="C29" s="30"/>
      <c r="D29" s="30"/>
    </row>
    <row r="30" spans="1:14">
      <c r="C30" s="31"/>
      <c r="D30" s="31"/>
    </row>
    <row r="33" spans="1:2">
      <c r="A33" s="32"/>
      <c r="B33" s="32"/>
    </row>
    <row r="34" spans="1:2">
      <c r="A34" s="32"/>
      <c r="B34" s="32"/>
    </row>
    <row r="35" spans="1:2">
      <c r="A35" s="32"/>
      <c r="B35" s="32"/>
    </row>
    <row r="36" spans="1:2">
      <c r="A36" s="32"/>
      <c r="B36" s="32"/>
    </row>
    <row r="37" spans="1:2">
      <c r="A37" s="32"/>
      <c r="B37" s="32"/>
    </row>
    <row r="38" spans="1:2">
      <c r="A38" s="32"/>
      <c r="B38" s="32"/>
    </row>
    <row r="39" spans="1:2">
      <c r="A39" s="32"/>
      <c r="B39" s="32"/>
    </row>
    <row r="40" spans="1:2">
      <c r="A40" s="32"/>
      <c r="B40" s="32"/>
    </row>
    <row r="45" spans="1:2">
      <c r="A45" s="32"/>
      <c r="B45" s="32"/>
    </row>
    <row r="46" spans="1:2">
      <c r="A46" s="32"/>
      <c r="B46" s="32"/>
    </row>
    <row r="47" spans="1:2">
      <c r="A47" s="32"/>
      <c r="B47" s="32"/>
    </row>
    <row r="48" spans="1:2">
      <c r="A48" s="32"/>
      <c r="B48" s="32"/>
    </row>
    <row r="49" spans="1:2">
      <c r="A49" s="32"/>
      <c r="B49" s="32"/>
    </row>
    <row r="50" spans="1:2">
      <c r="A50" s="32"/>
      <c r="B50" s="32"/>
    </row>
    <row r="51" spans="1:2">
      <c r="A51" s="32"/>
      <c r="B51" s="32"/>
    </row>
    <row r="52" spans="1:2">
      <c r="A52" s="32"/>
      <c r="B52" s="32"/>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vt:i4>
      </vt:variant>
    </vt:vector>
  </HeadingPairs>
  <TitlesOfParts>
    <vt:vector size="9" baseType="lpstr">
      <vt:lpstr>Beschreibung</vt:lpstr>
      <vt:lpstr>Eingabe Parameter</vt:lpstr>
      <vt:lpstr>aus_Eingabeparameter</vt:lpstr>
      <vt:lpstr>Vollbenutzungsstunden SLP</vt:lpstr>
      <vt:lpstr>Vollbenutzungsstunden RLM</vt:lpstr>
      <vt:lpstr>Input SLP</vt:lpstr>
      <vt:lpstr>Input GHD&amp;Industrie</vt:lpstr>
      <vt:lpstr>Kennwerte Kundenprofile</vt:lpstr>
      <vt:lpstr>BerInd</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BEberl</dc:creator>
  <cp:lastModifiedBy>TGobmaier</cp:lastModifiedBy>
  <dcterms:created xsi:type="dcterms:W3CDTF">2014-09-02T11:21:57Z</dcterms:created>
  <dcterms:modified xsi:type="dcterms:W3CDTF">2014-11-07T11:38:30Z</dcterms:modified>
</cp:coreProperties>
</file>